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s" sheetId="1" r:id="rId4"/>
  </sheets>
  <definedNames/>
  <calcPr/>
</workbook>
</file>

<file path=xl/sharedStrings.xml><?xml version="1.0" encoding="utf-8"?>
<sst xmlns="http://schemas.openxmlformats.org/spreadsheetml/2006/main" count="17" uniqueCount="12">
  <si>
    <r>
      <rPr>
        <b/>
        <color rgb="FF1360AB"/>
        <sz val="16.0"/>
      </rPr>
      <t xml:space="preserve">Indice Selectra SQ del Gas
</t>
    </r>
    <r>
      <rPr>
        <sz val="7.0"/>
      </rPr>
      <t xml:space="preserve">
</t>
    </r>
    <r>
      <rPr>
        <b/>
      </rPr>
      <t xml:space="preserve">Monitoraggio dell’andamento dei prezzi fissi del gas sul Mercato Libero per i clienti residenziali 
</t>
    </r>
    <r>
      <rPr>
        <color rgb="FF666666"/>
        <sz val="7.0"/>
      </rPr>
      <t xml:space="preserve">l’Indice Selectra per Staffetta Quotidiana osserva l’andamento delle offerte a prezzo fisso del gas sul mercato retail, mettendolo a confronto con il prezzo sul Mercato Tutelato, il prezzo spot (TTF/PSV) e il prezzo forward del gas,
</t>
    </r>
    <r>
      <rPr>
        <sz val="8.0"/>
      </rPr>
      <t xml:space="preserve">
</t>
    </r>
    <r>
      <rPr>
        <b/>
        <sz val="9.0"/>
      </rPr>
      <t>I dati possono essere utilizzati citando Selectra (</t>
    </r>
    <r>
      <rPr/>
      <t>Selectra.net</t>
    </r>
    <r>
      <rPr>
        <b/>
        <sz val="9.0"/>
      </rPr>
      <t xml:space="preserve">) come fonte. 
</t>
    </r>
    <r>
      <rPr>
        <sz val="7.0"/>
      </rPr>
      <t>Scarica la</t>
    </r>
    <r>
      <rPr>
        <sz val="8.0"/>
      </rPr>
      <t xml:space="preserve"> </t>
    </r>
    <r>
      <rPr>
        <color rgb="FF1155CC"/>
        <sz val="8.0"/>
        <u/>
      </rPr>
      <t>Scheda tecnica.</t>
    </r>
    <r>
      <rPr>
        <b/>
        <sz val="7.0"/>
      </rPr>
      <t xml:space="preserve">
</t>
    </r>
    <r>
      <rPr>
        <sz val="7.0"/>
      </rPr>
      <t>Contatta stampa@selectra.net per ulteriori informazioni o collaborazioni.</t>
    </r>
  </si>
  <si>
    <t>Data</t>
  </si>
  <si>
    <r>
      <rPr>
        <rFont val="Arial"/>
        <b/>
        <color rgb="FFFFFFFF"/>
      </rPr>
      <t>Prezzo Indice Selectra</t>
    </r>
    <r>
      <rPr>
        <rFont val="Arial"/>
        <b val="0"/>
        <color rgb="FFFFFFFF"/>
      </rPr>
      <t xml:space="preserve"> (Cmem + CCR)</t>
    </r>
  </si>
  <si>
    <t>Prezzo Spot</t>
  </si>
  <si>
    <t>Forward</t>
  </si>
  <si>
    <t>Tutelato</t>
  </si>
  <si>
    <t xml:space="preserve">Media prezzo fisso Libero </t>
  </si>
  <si>
    <t>Media offerte meno care</t>
  </si>
  <si>
    <t>Media offerte più care</t>
  </si>
  <si>
    <t>in media mobile a 7 giorni (TTF fino al 31/08/2022, poi: PSV)</t>
  </si>
  <si>
    <t>in media mobile a 7 giorni</t>
  </si>
  <si>
    <t>€/smc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</si>
</sst>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0"/>
    <numFmt numFmtId="165" formatCode="dd/mm/yyyy"/>
    <numFmt numFmtId="166" formatCode="d/m/yyyy"/>
  </numFmts>
  <fonts count="10">
    <font>
      <sz val="10.0"/>
      <color rgb="FF000000"/>
      <name val="Arial"/>
      <scheme val="minor"/>
    </font>
    <font>
      <u/>
      <color rgb="FF0000FF"/>
    </font>
    <font/>
    <font>
      <color theme="1"/>
      <name val="Arial"/>
      <scheme val="minor"/>
    </font>
    <font>
      <b/>
      <color rgb="FFFFFFFF"/>
      <name val="Arial"/>
    </font>
    <font>
      <color rgb="FFFFFFFF"/>
      <name val="Arial"/>
    </font>
    <font>
      <i/>
      <color rgb="FFFFFFFF"/>
      <name val="Arial"/>
    </font>
    <font>
      <color rgb="FF999999"/>
      <name val="Arial"/>
      <scheme val="minor"/>
    </font>
    <font>
      <i/>
      <color rgb="FF999999"/>
      <name val="Arial"/>
    </font>
    <font>
      <i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1360AB"/>
        <bgColor rgb="FF1360AB"/>
      </patternFill>
    </fill>
    <fill>
      <patternFill patternType="solid">
        <fgColor rgb="FFFFFFFF"/>
        <bgColor rgb="FFFFFFFF"/>
      </patternFill>
    </fill>
  </fills>
  <borders count="7">
    <border/>
    <border>
      <right style="thin">
        <color rgb="FFFFFFFF"/>
      </right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1360AB"/>
      </left>
      <right style="thin">
        <color rgb="FF1360AB"/>
      </right>
      <top style="thin">
        <color rgb="FF1360AB"/>
      </top>
      <bottom style="thin">
        <color rgb="FF1360AB"/>
      </bottom>
    </border>
    <border>
      <left style="thin">
        <color rgb="FF1360AB"/>
      </left>
      <top style="thin">
        <color rgb="FF1360AB"/>
      </top>
      <bottom style="thin">
        <color rgb="FF1360AB"/>
      </bottom>
    </border>
    <border>
      <top style="thin">
        <color rgb="FF1360AB"/>
      </top>
      <bottom style="thin">
        <color rgb="FF1360AB"/>
      </bottom>
    </border>
    <border>
      <right style="thin">
        <color rgb="FF1360AB"/>
      </right>
      <top style="thin">
        <color rgb="FF1360AB"/>
      </top>
      <bottom style="thin">
        <color rgb="FF1360AB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center" wrapText="1"/>
    </xf>
    <xf borderId="1" fillId="0" fontId="2" numFmtId="0" xfId="0" applyBorder="1" applyFont="1"/>
    <xf borderId="2" fillId="0" fontId="3" numFmtId="164" xfId="0" applyAlignment="1" applyBorder="1" applyFont="1" applyNumberFormat="1">
      <alignment horizontal="center" readingOrder="0"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shrinkToFit="0" wrapText="1"/>
    </xf>
    <xf borderId="3" fillId="2" fontId="4" numFmtId="0" xfId="0" applyAlignment="1" applyBorder="1" applyFill="1" applyFont="1">
      <alignment horizontal="center" shrinkToFit="0" vertical="bottom" wrapText="1"/>
    </xf>
    <xf borderId="4" fillId="2" fontId="4" numFmtId="0" xfId="0" applyAlignment="1" applyBorder="1" applyFont="1">
      <alignment horizontal="center" readingOrder="0" shrinkToFit="0" vertical="bottom" wrapText="1"/>
    </xf>
    <xf borderId="5" fillId="0" fontId="2" numFmtId="0" xfId="0" applyBorder="1" applyFont="1"/>
    <xf borderId="6" fillId="0" fontId="2" numFmtId="0" xfId="0" applyBorder="1" applyFont="1"/>
    <xf borderId="3" fillId="2" fontId="4" numFmtId="0" xfId="0" applyAlignment="1" applyBorder="1" applyFont="1">
      <alignment horizontal="center" readingOrder="0" shrinkToFit="0" vertical="bottom" wrapText="1"/>
    </xf>
    <xf borderId="0" fillId="0" fontId="3" numFmtId="164" xfId="0" applyAlignment="1" applyFont="1" applyNumberFormat="1">
      <alignment horizontal="left" readingOrder="0" shrinkToFit="0" wrapText="1"/>
    </xf>
    <xf borderId="3" fillId="2" fontId="5" numFmtId="0" xfId="0" applyAlignment="1" applyBorder="1" applyFont="1">
      <alignment horizontal="center" shrinkToFit="0" vertical="center" wrapText="1"/>
    </xf>
    <xf borderId="3" fillId="2" fontId="4" numFmtId="0" xfId="0" applyAlignment="1" applyBorder="1" applyFont="1">
      <alignment horizontal="center" readingOrder="0" shrinkToFit="0" vertical="center" wrapText="1"/>
    </xf>
    <xf borderId="3" fillId="2" fontId="6" numFmtId="0" xfId="0" applyAlignment="1" applyBorder="1" applyFont="1">
      <alignment horizontal="center" shrinkToFit="0" vertical="center" wrapText="1"/>
    </xf>
    <xf borderId="3" fillId="2" fontId="6" numFmtId="0" xfId="0" applyAlignment="1" applyBorder="1" applyFont="1">
      <alignment horizontal="center" readingOrder="0" shrinkToFit="0" vertical="center" wrapText="1"/>
    </xf>
    <xf borderId="3" fillId="2" fontId="4" numFmtId="0" xfId="0" applyAlignment="1" applyBorder="1" applyFont="1">
      <alignment horizontal="center" shrinkToFit="0" vertical="center" wrapText="1"/>
    </xf>
    <xf borderId="0" fillId="3" fontId="7" numFmtId="0" xfId="0" applyAlignment="1" applyFill="1" applyFont="1">
      <alignment horizontal="center"/>
    </xf>
    <xf borderId="0" fillId="3" fontId="8" numFmtId="4" xfId="0" applyAlignment="1" applyFont="1" applyNumberFormat="1">
      <alignment horizontal="center" readingOrder="0" vertical="bottom"/>
    </xf>
    <xf borderId="0" fillId="0" fontId="3" numFmtId="165" xfId="0" applyAlignment="1" applyFont="1" applyNumberFormat="1">
      <alignment horizontal="center" readingOrder="0"/>
    </xf>
    <xf borderId="0" fillId="0" fontId="3" numFmtId="164" xfId="0" applyAlignment="1" applyFont="1" applyNumberFormat="1">
      <alignment horizontal="center" readingOrder="0"/>
    </xf>
    <xf borderId="0" fillId="0" fontId="9" numFmtId="164" xfId="0" applyAlignment="1" applyFont="1" applyNumberFormat="1">
      <alignment horizontal="center" readingOrder="0"/>
    </xf>
    <xf borderId="0" fillId="0" fontId="3" numFmtId="164" xfId="0" applyAlignment="1" applyFont="1" applyNumberFormat="1">
      <alignment horizontal="left" readingOrder="0"/>
    </xf>
    <xf borderId="0" fillId="0" fontId="3" numFmtId="164" xfId="0" applyAlignment="1" applyFont="1" applyNumberFormat="1">
      <alignment horizontal="center"/>
    </xf>
    <xf borderId="0" fillId="0" fontId="3" numFmtId="166" xfId="0" applyAlignment="1" applyFont="1" applyNumberFormat="1">
      <alignment horizontal="center" readingOrder="0"/>
    </xf>
    <xf borderId="0" fillId="0" fontId="9" numFmtId="164" xfId="0" applyAlignment="1" applyFont="1" applyNumberFormat="1">
      <alignment horizontal="center"/>
    </xf>
    <xf borderId="0" fillId="0" fontId="3" numFmtId="164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19050</xdr:colOff>
      <xdr:row>0</xdr:row>
      <xdr:rowOff>0</xdr:rowOff>
    </xdr:from>
    <xdr:ext cx="2047875" cy="2047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electra.net/sites/selectra.net/files/indice-selectra-sq-gas-scheda-tecnica.pdf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10.88"/>
    <col customWidth="1" min="2" max="2" width="15.25"/>
    <col customWidth="1" min="3" max="3" width="13.25"/>
    <col customWidth="1" min="4" max="4" width="11.88"/>
    <col customWidth="1" min="5" max="5" width="25.75"/>
    <col customWidth="1" min="6" max="6" width="12.88"/>
    <col customWidth="1" min="7" max="7" width="11.5"/>
    <col customWidth="1" min="8" max="8" width="17.88"/>
  </cols>
  <sheetData>
    <row r="1" ht="138.0" customHeight="1">
      <c r="A1" s="1" t="s">
        <v>0</v>
      </c>
      <c r="E1" s="2"/>
      <c r="F1" s="3"/>
      <c r="G1" s="3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>
      <c r="A2" s="6" t="s">
        <v>1</v>
      </c>
      <c r="B2" s="7" t="s">
        <v>2</v>
      </c>
      <c r="C2" s="8"/>
      <c r="D2" s="9"/>
      <c r="E2" s="10" t="s">
        <v>3</v>
      </c>
      <c r="F2" s="10" t="s">
        <v>4</v>
      </c>
      <c r="G2" s="10" t="s">
        <v>5</v>
      </c>
      <c r="J2" s="1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40.5" customHeight="1">
      <c r="A3" s="12"/>
      <c r="B3" s="13" t="s">
        <v>6</v>
      </c>
      <c r="C3" s="14" t="s">
        <v>7</v>
      </c>
      <c r="D3" s="14" t="s">
        <v>8</v>
      </c>
      <c r="E3" s="15" t="s">
        <v>9</v>
      </c>
      <c r="F3" s="15" t="s">
        <v>10</v>
      </c>
      <c r="G3" s="16"/>
      <c r="J3" s="1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ht="21.0" customHeight="1">
      <c r="A4" s="17"/>
      <c r="B4" s="18" t="s">
        <v>11</v>
      </c>
      <c r="C4" s="18" t="s">
        <v>11</v>
      </c>
      <c r="D4" s="18" t="s">
        <v>11</v>
      </c>
      <c r="E4" s="18" t="s">
        <v>11</v>
      </c>
      <c r="F4" s="18" t="s">
        <v>11</v>
      </c>
      <c r="G4" s="18" t="s">
        <v>11</v>
      </c>
      <c r="H4" s="18"/>
      <c r="J4" s="1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>
      <c r="A5" s="19">
        <f>IFERROR(__xludf.DUMMYFUNCTION("IMPORTRANGE(""https://docs.google.com/spreadsheets/d/1Bx2qPedWMp9EBLyWYVrR94ZGYP1xlQFz87aI4pz5hUU/edit#gid=42738729"",""Dati Confronto gas (ridotto)!F5:F5000"")"),44565.0)</f>
        <v>44565</v>
      </c>
      <c r="B5" s="20">
        <f>IFERROR(__xludf.DUMMYFUNCTION("IMPORTRANGE(""https://docs.google.com/spreadsheets/d/1Bx2qPedWMp9EBLyWYVrR94ZGYP1xlQFz87aI4pz5hUU/edit#gid=42738729"",""Dati Confronto gas (ridotto)!h5:h5000"")"),0.7795925454545455)</f>
        <v>0.7795925455</v>
      </c>
      <c r="C5" s="21">
        <f>IFERROR(__xludf.DUMMYFUNCTION("IMPORTRANGE(""https://docs.google.com/spreadsheets/d/1Bx2qPedWMp9EBLyWYVrR94ZGYP1xlQFz87aI4pz5hUU/edit#gid=42738729"",""Dati Confronto gas (ridotto)!i5:i5000"")"),0.514)</f>
        <v>0.514</v>
      </c>
      <c r="D5" s="20">
        <f>IFERROR(__xludf.DUMMYFUNCTION("IMPORTRANGE(""https://docs.google.com/spreadsheets/d/1Bx2qPedWMp9EBLyWYVrR94ZGYP1xlQFz87aI4pz5hUU/edit#gid=42738729"",""Dati Confronto gas (ridotto)!j5:j5000"")"),1.4905)</f>
        <v>1.4905</v>
      </c>
      <c r="E5" s="20">
        <f>IFERROR(__xludf.DUMMYFUNCTION("IMPORTRANGE(""https://docs.google.com/spreadsheets/d/1Bx2qPedWMp9EBLyWYVrR94ZGYP1xlQFz87aI4pz5hUU/edit#gid=42738729"",""Dati Confronto gas (ridotto)!k5:k244"")"),0.9646264)</f>
        <v>0.9646264</v>
      </c>
      <c r="F5" s="20">
        <f>IFERROR(__xludf.DUMMYFUNCTION("IMPORTRANGE(""https://docs.google.com/spreadsheets/d/1Bx2qPedWMp9EBLyWYVrR94ZGYP1xlQFz87aI4pz5hUU/edit#gid=42738729"",""Dati Confronto gas (ridotto)!m5:m5000"")"),0.7880786928571428)</f>
        <v>0.7880786929</v>
      </c>
      <c r="G5" s="20">
        <f>IFERROR(__xludf.DUMMYFUNCTION("IMPORTRANGE(""https://docs.google.com/spreadsheets/d/1Bx2qPedWMp9EBLyWYVrR94ZGYP1xlQFz87aI4pz5hUU/edit#gid=42738729"",""Dati Confronto gas (ridotto)!g5:g5000"")"),0.879436)</f>
        <v>0.879436</v>
      </c>
      <c r="H5" s="20" t="str">
        <f>IFERROR(__xludf.DUMMYFUNCTION("IMPORTRANGE(""https://docs.google.com/spreadsheets/d/1Bx2qPedWMp9EBLyWYVrR94ZGYP1xlQFz87aI4pz5hUU/edit#gid=42738729"",""Dati Confronto gas (ridotto)!o5:o5000"")"),"")</f>
        <v/>
      </c>
      <c r="J5" s="22"/>
    </row>
    <row r="6">
      <c r="A6" s="19">
        <f>IFERROR(__xludf.DUMMYFUNCTION("""COMPUTED_VALUE"""),44566.0)</f>
        <v>44566</v>
      </c>
      <c r="B6" s="20">
        <f>IFERROR(__xludf.DUMMYFUNCTION("""COMPUTED_VALUE"""),0.7795925454545455)</f>
        <v>0.7795925455</v>
      </c>
      <c r="C6" s="21">
        <f>IFERROR(__xludf.DUMMYFUNCTION("""COMPUTED_VALUE"""),0.514)</f>
        <v>0.514</v>
      </c>
      <c r="D6" s="21">
        <f>IFERROR(__xludf.DUMMYFUNCTION("""COMPUTED_VALUE"""),1.4905)</f>
        <v>1.4905</v>
      </c>
      <c r="E6" s="20">
        <f>IFERROR(__xludf.DUMMYFUNCTION("""COMPUTED_VALUE"""),1.0095022)</f>
        <v>1.0095022</v>
      </c>
      <c r="F6" s="20">
        <f>IFERROR(__xludf.DUMMYFUNCTION("""COMPUTED_VALUE"""),0.7768696785714286)</f>
        <v>0.7768696786</v>
      </c>
      <c r="G6" s="20">
        <f>IFERROR(__xludf.DUMMYFUNCTION("""COMPUTED_VALUE"""),0.879436)</f>
        <v>0.879436</v>
      </c>
      <c r="H6" s="23"/>
      <c r="J6" s="22"/>
    </row>
    <row r="7">
      <c r="A7" s="19">
        <f>IFERROR(__xludf.DUMMYFUNCTION("""COMPUTED_VALUE"""),44567.0)</f>
        <v>44567</v>
      </c>
      <c r="B7" s="20">
        <f>IFERROR(__xludf.DUMMYFUNCTION("""COMPUTED_VALUE"""),0.7795925454545455)</f>
        <v>0.7795925455</v>
      </c>
      <c r="C7" s="21">
        <f>IFERROR(__xludf.DUMMYFUNCTION("""COMPUTED_VALUE"""),0.514)</f>
        <v>0.514</v>
      </c>
      <c r="D7" s="21">
        <f>IFERROR(__xludf.DUMMYFUNCTION("""COMPUTED_VALUE"""),1.4905)</f>
        <v>1.4905</v>
      </c>
      <c r="E7" s="20">
        <f>IFERROR(__xludf.DUMMYFUNCTION("""COMPUTED_VALUE"""),1.0174201999999999)</f>
        <v>1.0174202</v>
      </c>
      <c r="F7" s="20">
        <f>IFERROR(__xludf.DUMMYFUNCTION("""COMPUTED_VALUE"""),0.7900864714285715)</f>
        <v>0.7900864714</v>
      </c>
      <c r="G7" s="20">
        <f>IFERROR(__xludf.DUMMYFUNCTION("""COMPUTED_VALUE"""),0.879436)</f>
        <v>0.879436</v>
      </c>
      <c r="H7" s="23"/>
      <c r="J7" s="22"/>
    </row>
    <row r="8">
      <c r="A8" s="19">
        <f>IFERROR(__xludf.DUMMYFUNCTION("""COMPUTED_VALUE"""),44568.0)</f>
        <v>44568</v>
      </c>
      <c r="B8" s="20">
        <f>IFERROR(__xludf.DUMMYFUNCTION("""COMPUTED_VALUE"""),0.7795925454545455)</f>
        <v>0.7795925455</v>
      </c>
      <c r="C8" s="21">
        <f>IFERROR(__xludf.DUMMYFUNCTION("""COMPUTED_VALUE"""),0.514)</f>
        <v>0.514</v>
      </c>
      <c r="D8" s="21">
        <f>IFERROR(__xludf.DUMMYFUNCTION("""COMPUTED_VALUE"""),1.4905)</f>
        <v>1.4905</v>
      </c>
      <c r="E8" s="20">
        <f>IFERROR(__xludf.DUMMYFUNCTION("""COMPUTED_VALUE"""),0.978515)</f>
        <v>0.978515</v>
      </c>
      <c r="F8" s="20">
        <f>IFERROR(__xludf.DUMMYFUNCTION("""COMPUTED_VALUE"""),0.8105987535714286)</f>
        <v>0.8105987536</v>
      </c>
      <c r="G8" s="20">
        <f>IFERROR(__xludf.DUMMYFUNCTION("""COMPUTED_VALUE"""),0.879436)</f>
        <v>0.879436</v>
      </c>
      <c r="H8" s="23"/>
      <c r="J8" s="22"/>
    </row>
    <row r="9">
      <c r="A9" s="19">
        <f>IFERROR(__xludf.DUMMYFUNCTION("""COMPUTED_VALUE"""),44569.0)</f>
        <v>44569</v>
      </c>
      <c r="B9" s="20">
        <f>IFERROR(__xludf.DUMMYFUNCTION("""COMPUTED_VALUE"""),0.7795925454545455)</f>
        <v>0.7795925455</v>
      </c>
      <c r="C9" s="21">
        <f>IFERROR(__xludf.DUMMYFUNCTION("""COMPUTED_VALUE"""),0.514)</f>
        <v>0.514</v>
      </c>
      <c r="D9" s="21">
        <f>IFERROR(__xludf.DUMMYFUNCTION("""COMPUTED_VALUE"""),1.4905)</f>
        <v>1.4905</v>
      </c>
      <c r="E9" s="20">
        <f>IFERROR(__xludf.DUMMYFUNCTION("""COMPUTED_VALUE"""),0.8982329)</f>
        <v>0.8982329</v>
      </c>
      <c r="F9" s="20">
        <f>IFERROR(__xludf.DUMMYFUNCTION("""COMPUTED_VALUE"""),0.8311110357142857)</f>
        <v>0.8311110357</v>
      </c>
      <c r="G9" s="20">
        <f>IFERROR(__xludf.DUMMYFUNCTION("""COMPUTED_VALUE"""),0.879436)</f>
        <v>0.879436</v>
      </c>
      <c r="H9" s="23"/>
      <c r="J9" s="22"/>
    </row>
    <row r="10">
      <c r="A10" s="19">
        <f>IFERROR(__xludf.DUMMYFUNCTION("""COMPUTED_VALUE"""),44570.0)</f>
        <v>44570</v>
      </c>
      <c r="B10" s="20">
        <f>IFERROR(__xludf.DUMMYFUNCTION("""COMPUTED_VALUE"""),0.7795925454545455)</f>
        <v>0.7795925455</v>
      </c>
      <c r="C10" s="21">
        <f>IFERROR(__xludf.DUMMYFUNCTION("""COMPUTED_VALUE"""),0.514)</f>
        <v>0.514</v>
      </c>
      <c r="D10" s="21">
        <f>IFERROR(__xludf.DUMMYFUNCTION("""COMPUTED_VALUE"""),1.4905)</f>
        <v>1.4905</v>
      </c>
      <c r="E10" s="20">
        <f>IFERROR(__xludf.DUMMYFUNCTION("""COMPUTED_VALUE"""),0.9368278)</f>
        <v>0.9368278</v>
      </c>
      <c r="F10" s="20">
        <f>IFERROR(__xludf.DUMMYFUNCTION("""COMPUTED_VALUE"""),0.8516233178571427)</f>
        <v>0.8516233179</v>
      </c>
      <c r="G10" s="20">
        <f>IFERROR(__xludf.DUMMYFUNCTION("""COMPUTED_VALUE"""),0.879436)</f>
        <v>0.879436</v>
      </c>
      <c r="H10" s="23"/>
      <c r="J10" s="22"/>
    </row>
    <row r="11">
      <c r="A11" s="19">
        <f>IFERROR(__xludf.DUMMYFUNCTION("""COMPUTED_VALUE"""),44571.0)</f>
        <v>44571</v>
      </c>
      <c r="B11" s="20">
        <f>IFERROR(__xludf.DUMMYFUNCTION("""COMPUTED_VALUE"""),0.7895015)</f>
        <v>0.7895015</v>
      </c>
      <c r="C11" s="21">
        <f>IFERROR(__xludf.DUMMYFUNCTION("""COMPUTED_VALUE"""),0.529)</f>
        <v>0.529</v>
      </c>
      <c r="D11" s="21">
        <f>IFERROR(__xludf.DUMMYFUNCTION("""COMPUTED_VALUE"""),1.4905)</f>
        <v>1.4905</v>
      </c>
      <c r="E11" s="20">
        <f>IFERROR(__xludf.DUMMYFUNCTION("""COMPUTED_VALUE"""),0.9379084999999999)</f>
        <v>0.9379085</v>
      </c>
      <c r="F11" s="20">
        <f>IFERROR(__xludf.DUMMYFUNCTION("""COMPUTED_VALUE"""),0.8573298571428571)</f>
        <v>0.8573298571</v>
      </c>
      <c r="G11" s="20">
        <f>IFERROR(__xludf.DUMMYFUNCTION("""COMPUTED_VALUE"""),0.879436)</f>
        <v>0.879436</v>
      </c>
      <c r="H11" s="23"/>
      <c r="J11" s="22"/>
    </row>
    <row r="12">
      <c r="A12" s="19">
        <f>IFERROR(__xludf.DUMMYFUNCTION("""COMPUTED_VALUE"""),44572.0)</f>
        <v>44572</v>
      </c>
      <c r="B12" s="20">
        <f>IFERROR(__xludf.DUMMYFUNCTION("""COMPUTED_VALUE"""),0.7895015)</f>
        <v>0.7895015</v>
      </c>
      <c r="C12" s="21">
        <f>IFERROR(__xludf.DUMMYFUNCTION("""COMPUTED_VALUE"""),0.529)</f>
        <v>0.529</v>
      </c>
      <c r="D12" s="21">
        <f>IFERROR(__xludf.DUMMYFUNCTION("""COMPUTED_VALUE"""),1.4905)</f>
        <v>1.4905</v>
      </c>
      <c r="E12" s="20">
        <f>IFERROR(__xludf.DUMMYFUNCTION("""COMPUTED_VALUE"""),0.8759340999999999)</f>
        <v>0.8759341</v>
      </c>
      <c r="F12" s="20">
        <f>IFERROR(__xludf.DUMMYFUNCTION("""COMPUTED_VALUE"""),0.8432299321428572)</f>
        <v>0.8432299321</v>
      </c>
      <c r="G12" s="20">
        <f>IFERROR(__xludf.DUMMYFUNCTION("""COMPUTED_VALUE"""),0.879436)</f>
        <v>0.879436</v>
      </c>
      <c r="H12" s="23"/>
      <c r="J12" s="22"/>
    </row>
    <row r="13">
      <c r="A13" s="19">
        <f>IFERROR(__xludf.DUMMYFUNCTION("""COMPUTED_VALUE"""),44573.0)</f>
        <v>44573</v>
      </c>
      <c r="B13" s="20">
        <f>IFERROR(__xludf.DUMMYFUNCTION("""COMPUTED_VALUE"""),0.7895015)</f>
        <v>0.7895015</v>
      </c>
      <c r="C13" s="21">
        <f>IFERROR(__xludf.DUMMYFUNCTION("""COMPUTED_VALUE"""),0.529)</f>
        <v>0.529</v>
      </c>
      <c r="D13" s="21">
        <f>IFERROR(__xludf.DUMMYFUNCTION("""COMPUTED_VALUE"""),1.4905)</f>
        <v>1.4905</v>
      </c>
      <c r="E13" s="20">
        <f>IFERROR(__xludf.DUMMYFUNCTION("""COMPUTED_VALUE"""),0.8533999)</f>
        <v>0.8533999</v>
      </c>
      <c r="F13" s="20">
        <f>IFERROR(__xludf.DUMMYFUNCTION("""COMPUTED_VALUE"""),0.8148065285714287)</f>
        <v>0.8148065286</v>
      </c>
      <c r="G13" s="20">
        <f>IFERROR(__xludf.DUMMYFUNCTION("""COMPUTED_VALUE"""),0.879436)</f>
        <v>0.879436</v>
      </c>
      <c r="H13" s="23"/>
      <c r="J13" s="22"/>
    </row>
    <row r="14">
      <c r="A14" s="19">
        <f>IFERROR(__xludf.DUMMYFUNCTION("""COMPUTED_VALUE"""),44574.0)</f>
        <v>44574</v>
      </c>
      <c r="B14" s="20">
        <f>IFERROR(__xludf.DUMMYFUNCTION("""COMPUTED_VALUE"""),0.7895015)</f>
        <v>0.7895015</v>
      </c>
      <c r="C14" s="21">
        <f>IFERROR(__xludf.DUMMYFUNCTION("""COMPUTED_VALUE"""),0.529)</f>
        <v>0.529</v>
      </c>
      <c r="D14" s="21">
        <f>IFERROR(__xludf.DUMMYFUNCTION("""COMPUTED_VALUE"""),1.4905)</f>
        <v>1.4905</v>
      </c>
      <c r="E14" s="20">
        <f>IFERROR(__xludf.DUMMYFUNCTION("""COMPUTED_VALUE"""),0.8069833)</f>
        <v>0.8069833</v>
      </c>
      <c r="F14" s="20">
        <f>IFERROR(__xludf.DUMMYFUNCTION("""COMPUTED_VALUE"""),0.783172742857143)</f>
        <v>0.7831727429</v>
      </c>
      <c r="G14" s="20">
        <f>IFERROR(__xludf.DUMMYFUNCTION("""COMPUTED_VALUE"""),0.879436)</f>
        <v>0.879436</v>
      </c>
      <c r="H14" s="23"/>
      <c r="J14" s="22"/>
    </row>
    <row r="15">
      <c r="A15" s="19">
        <f>IFERROR(__xludf.DUMMYFUNCTION("""COMPUTED_VALUE"""),44575.0)</f>
        <v>44575</v>
      </c>
      <c r="B15" s="20">
        <f>IFERROR(__xludf.DUMMYFUNCTION("""COMPUTED_VALUE"""),0.7895015)</f>
        <v>0.7895015</v>
      </c>
      <c r="C15" s="21">
        <f>IFERROR(__xludf.DUMMYFUNCTION("""COMPUTED_VALUE"""),0.529)</f>
        <v>0.529</v>
      </c>
      <c r="D15" s="21">
        <f>IFERROR(__xludf.DUMMYFUNCTION("""COMPUTED_VALUE"""),1.4905)</f>
        <v>1.4905</v>
      </c>
      <c r="E15" s="20">
        <f>IFERROR(__xludf.DUMMYFUNCTION("""COMPUTED_VALUE"""),0.9736465)</f>
        <v>0.9736465</v>
      </c>
      <c r="F15" s="20">
        <f>IFERROR(__xludf.DUMMYFUNCTION("""COMPUTED_VALUE"""),0.7643694035714285)</f>
        <v>0.7643694036</v>
      </c>
      <c r="G15" s="20">
        <f>IFERROR(__xludf.DUMMYFUNCTION("""COMPUTED_VALUE"""),0.879436)</f>
        <v>0.879436</v>
      </c>
      <c r="H15" s="23"/>
      <c r="J15" s="22"/>
    </row>
    <row r="16">
      <c r="A16" s="19">
        <f>IFERROR(__xludf.DUMMYFUNCTION("""COMPUTED_VALUE"""),44576.0)</f>
        <v>44576</v>
      </c>
      <c r="B16" s="20">
        <f>IFERROR(__xludf.DUMMYFUNCTION("""COMPUTED_VALUE"""),0.7895015)</f>
        <v>0.7895015</v>
      </c>
      <c r="C16" s="21">
        <f>IFERROR(__xludf.DUMMYFUNCTION("""COMPUTED_VALUE"""),0.529)</f>
        <v>0.529</v>
      </c>
      <c r="D16" s="21">
        <f>IFERROR(__xludf.DUMMYFUNCTION("""COMPUTED_VALUE"""),1.4905)</f>
        <v>1.4905</v>
      </c>
      <c r="E16" s="20">
        <f>IFERROR(__xludf.DUMMYFUNCTION("""COMPUTED_VALUE"""),0.9390962)</f>
        <v>0.9390962</v>
      </c>
      <c r="F16" s="20">
        <f>IFERROR(__xludf.DUMMYFUNCTION("""COMPUTED_VALUE"""),0.7455660642857141)</f>
        <v>0.7455660643</v>
      </c>
      <c r="G16" s="20">
        <f>IFERROR(__xludf.DUMMYFUNCTION("""COMPUTED_VALUE"""),0.879436)</f>
        <v>0.879436</v>
      </c>
      <c r="H16" s="23"/>
      <c r="J16" s="22"/>
    </row>
    <row r="17">
      <c r="A17" s="19">
        <f>IFERROR(__xludf.DUMMYFUNCTION("""COMPUTED_VALUE"""),44577.0)</f>
        <v>44577</v>
      </c>
      <c r="B17" s="20">
        <f>IFERROR(__xludf.DUMMYFUNCTION("""COMPUTED_VALUE"""),0.7895015)</f>
        <v>0.7895015</v>
      </c>
      <c r="C17" s="21">
        <f>IFERROR(__xludf.DUMMYFUNCTION("""COMPUTED_VALUE"""),0.529)</f>
        <v>0.529</v>
      </c>
      <c r="D17" s="21">
        <f>IFERROR(__xludf.DUMMYFUNCTION("""COMPUTED_VALUE"""),1.4905)</f>
        <v>1.4905</v>
      </c>
      <c r="E17" s="20">
        <f>IFERROR(__xludf.DUMMYFUNCTION("""COMPUTED_VALUE"""),0.9612023999999999)</f>
        <v>0.9612024</v>
      </c>
      <c r="F17" s="20">
        <f>IFERROR(__xludf.DUMMYFUNCTION("""COMPUTED_VALUE"""),0.7267627249999998)</f>
        <v>0.726762725</v>
      </c>
      <c r="G17" s="20">
        <f>IFERROR(__xludf.DUMMYFUNCTION("""COMPUTED_VALUE"""),0.879436)</f>
        <v>0.879436</v>
      </c>
      <c r="H17" s="23"/>
      <c r="J17" s="22"/>
    </row>
    <row r="18">
      <c r="A18" s="19">
        <f>IFERROR(__xludf.DUMMYFUNCTION("""COMPUTED_VALUE"""),44578.0)</f>
        <v>44578</v>
      </c>
      <c r="B18" s="20">
        <f>IFERROR(__xludf.DUMMYFUNCTION("""COMPUTED_VALUE"""),0.7974598333333333)</f>
        <v>0.7974598333</v>
      </c>
      <c r="C18" s="21">
        <f>IFERROR(__xludf.DUMMYFUNCTION("""COMPUTED_VALUE"""),0.529)</f>
        <v>0.529</v>
      </c>
      <c r="D18" s="21">
        <f>IFERROR(__xludf.DUMMYFUNCTION("""COMPUTED_VALUE"""),1.4905)</f>
        <v>1.4905</v>
      </c>
      <c r="E18" s="20">
        <f>IFERROR(__xludf.DUMMYFUNCTION("""COMPUTED_VALUE"""),0.8867625)</f>
        <v>0.8867625</v>
      </c>
      <c r="F18" s="20">
        <f>IFERROR(__xludf.DUMMYFUNCTION("""COMPUTED_VALUE"""),0.7060719821428572)</f>
        <v>0.7060719821</v>
      </c>
      <c r="G18" s="20">
        <f>IFERROR(__xludf.DUMMYFUNCTION("""COMPUTED_VALUE"""),0.879436)</f>
        <v>0.879436</v>
      </c>
      <c r="H18" s="23"/>
      <c r="J18" s="22"/>
    </row>
    <row r="19">
      <c r="A19" s="19">
        <f>IFERROR(__xludf.DUMMYFUNCTION("""COMPUTED_VALUE"""),44579.0)</f>
        <v>44579</v>
      </c>
      <c r="B19" s="20">
        <f>IFERROR(__xludf.DUMMYFUNCTION("""COMPUTED_VALUE"""),0.7974598333333333)</f>
        <v>0.7974598333</v>
      </c>
      <c r="C19" s="21">
        <f>IFERROR(__xludf.DUMMYFUNCTION("""COMPUTED_VALUE"""),0.529)</f>
        <v>0.529</v>
      </c>
      <c r="D19" s="21">
        <f>IFERROR(__xludf.DUMMYFUNCTION("""COMPUTED_VALUE"""),1.4905)</f>
        <v>1.4905</v>
      </c>
      <c r="E19" s="20">
        <f>IFERROR(__xludf.DUMMYFUNCTION("""COMPUTED_VALUE"""),0.8502006)</f>
        <v>0.8502006</v>
      </c>
      <c r="F19" s="20">
        <f>IFERROR(__xludf.DUMMYFUNCTION("""COMPUTED_VALUE"""),0.695026525)</f>
        <v>0.695026525</v>
      </c>
      <c r="G19" s="20">
        <f>IFERROR(__xludf.DUMMYFUNCTION("""COMPUTED_VALUE"""),0.879436)</f>
        <v>0.879436</v>
      </c>
      <c r="H19" s="23"/>
      <c r="J19" s="22"/>
    </row>
    <row r="20">
      <c r="A20" s="19">
        <f>IFERROR(__xludf.DUMMYFUNCTION("""COMPUTED_VALUE"""),44580.0)</f>
        <v>44580</v>
      </c>
      <c r="B20" s="20">
        <f>IFERROR(__xludf.DUMMYFUNCTION("""COMPUTED_VALUE"""),0.7974598333333333)</f>
        <v>0.7974598333</v>
      </c>
      <c r="C20" s="21">
        <f>IFERROR(__xludf.DUMMYFUNCTION("""COMPUTED_VALUE"""),0.529)</f>
        <v>0.529</v>
      </c>
      <c r="D20" s="21">
        <f>IFERROR(__xludf.DUMMYFUNCTION("""COMPUTED_VALUE"""),1.4905)</f>
        <v>1.4905</v>
      </c>
      <c r="E20" s="20">
        <f>IFERROR(__xludf.DUMMYFUNCTION("""COMPUTED_VALUE"""),0.8006488999999999)</f>
        <v>0.8006489</v>
      </c>
      <c r="F20" s="20">
        <f>IFERROR(__xludf.DUMMYFUNCTION("""COMPUTED_VALUE"""),0.6913151535714286)</f>
        <v>0.6913151536</v>
      </c>
      <c r="G20" s="20">
        <f>IFERROR(__xludf.DUMMYFUNCTION("""COMPUTED_VALUE"""),0.879436)</f>
        <v>0.879436</v>
      </c>
      <c r="H20" s="23"/>
      <c r="J20" s="22"/>
    </row>
    <row r="21">
      <c r="A21" s="19">
        <f>IFERROR(__xludf.DUMMYFUNCTION("""COMPUTED_VALUE"""),44581.0)</f>
        <v>44581</v>
      </c>
      <c r="B21" s="20">
        <f>IFERROR(__xludf.DUMMYFUNCTION("""COMPUTED_VALUE"""),0.7974598333333333)</f>
        <v>0.7974598333</v>
      </c>
      <c r="C21" s="21">
        <f>IFERROR(__xludf.DUMMYFUNCTION("""COMPUTED_VALUE"""),0.529)</f>
        <v>0.529</v>
      </c>
      <c r="D21" s="21">
        <f>IFERROR(__xludf.DUMMYFUNCTION("""COMPUTED_VALUE"""),1.4905)</f>
        <v>1.4905</v>
      </c>
      <c r="E21" s="20">
        <f>IFERROR(__xludf.DUMMYFUNCTION("""COMPUTED_VALUE"""),0.7843956000000001)</f>
        <v>0.7843956</v>
      </c>
      <c r="F21" s="20">
        <f>IFERROR(__xludf.DUMMYFUNCTION("""COMPUTED_VALUE"""),0.6901698714285713)</f>
        <v>0.6901698714</v>
      </c>
      <c r="G21" s="20">
        <f>IFERROR(__xludf.DUMMYFUNCTION("""COMPUTED_VALUE"""),0.879436)</f>
        <v>0.879436</v>
      </c>
      <c r="H21" s="23"/>
      <c r="J21" s="22"/>
    </row>
    <row r="22">
      <c r="A22" s="19">
        <f>IFERROR(__xludf.DUMMYFUNCTION("""COMPUTED_VALUE"""),44582.0)</f>
        <v>44582</v>
      </c>
      <c r="B22" s="20">
        <f>IFERROR(__xludf.DUMMYFUNCTION("""COMPUTED_VALUE"""),0.7974598333333333)</f>
        <v>0.7974598333</v>
      </c>
      <c r="C22" s="21">
        <f>IFERROR(__xludf.DUMMYFUNCTION("""COMPUTED_VALUE"""),0.529)</f>
        <v>0.529</v>
      </c>
      <c r="D22" s="21">
        <f>IFERROR(__xludf.DUMMYFUNCTION("""COMPUTED_VALUE"""),1.4905)</f>
        <v>1.4905</v>
      </c>
      <c r="E22" s="20">
        <f>IFERROR(__xludf.DUMMYFUNCTION("""COMPUTED_VALUE"""),0.8379918999999999)</f>
        <v>0.8379919</v>
      </c>
      <c r="F22" s="20">
        <f>IFERROR(__xludf.DUMMYFUNCTION("""COMPUTED_VALUE"""),0.6923266857142857)</f>
        <v>0.6923266857</v>
      </c>
      <c r="G22" s="20">
        <f>IFERROR(__xludf.DUMMYFUNCTION("""COMPUTED_VALUE"""),0.879436)</f>
        <v>0.879436</v>
      </c>
      <c r="H22" s="23"/>
      <c r="J22" s="22"/>
    </row>
    <row r="23">
      <c r="A23" s="19">
        <f>IFERROR(__xludf.DUMMYFUNCTION("""COMPUTED_VALUE"""),44583.0)</f>
        <v>44583</v>
      </c>
      <c r="B23" s="20">
        <f>IFERROR(__xludf.DUMMYFUNCTION("""COMPUTED_VALUE"""),0.7974598333333333)</f>
        <v>0.7974598333</v>
      </c>
      <c r="C23" s="21">
        <f>IFERROR(__xludf.DUMMYFUNCTION("""COMPUTED_VALUE"""),0.529)</f>
        <v>0.529</v>
      </c>
      <c r="D23" s="21">
        <f>IFERROR(__xludf.DUMMYFUNCTION("""COMPUTED_VALUE"""),1.4905)</f>
        <v>1.4905</v>
      </c>
      <c r="E23" s="20">
        <f>IFERROR(__xludf.DUMMYFUNCTION("""COMPUTED_VALUE"""),0.8580116)</f>
        <v>0.8580116</v>
      </c>
      <c r="F23" s="20">
        <f>IFERROR(__xludf.DUMMYFUNCTION("""COMPUTED_VALUE"""),0.6944834999999999)</f>
        <v>0.6944835</v>
      </c>
      <c r="G23" s="20">
        <f>IFERROR(__xludf.DUMMYFUNCTION("""COMPUTED_VALUE"""),0.879436)</f>
        <v>0.879436</v>
      </c>
      <c r="H23" s="23"/>
      <c r="J23" s="22"/>
    </row>
    <row r="24">
      <c r="A24" s="19">
        <f>IFERROR(__xludf.DUMMYFUNCTION("""COMPUTED_VALUE"""),44584.0)</f>
        <v>44584</v>
      </c>
      <c r="B24" s="20">
        <f>IFERROR(__xludf.DUMMYFUNCTION("""COMPUTED_VALUE"""),0.7974598333333333)</f>
        <v>0.7974598333</v>
      </c>
      <c r="C24" s="21">
        <f>IFERROR(__xludf.DUMMYFUNCTION("""COMPUTED_VALUE"""),0.529)</f>
        <v>0.529</v>
      </c>
      <c r="D24" s="21">
        <f>IFERROR(__xludf.DUMMYFUNCTION("""COMPUTED_VALUE"""),1.4905)</f>
        <v>1.4905</v>
      </c>
      <c r="E24" s="20">
        <f>IFERROR(__xludf.DUMMYFUNCTION("""COMPUTED_VALUE"""),0.8756773)</f>
        <v>0.8756773</v>
      </c>
      <c r="F24" s="20">
        <f>IFERROR(__xludf.DUMMYFUNCTION("""COMPUTED_VALUE"""),0.6966403142857143)</f>
        <v>0.6966403143</v>
      </c>
      <c r="G24" s="20">
        <f>IFERROR(__xludf.DUMMYFUNCTION("""COMPUTED_VALUE"""),0.879436)</f>
        <v>0.879436</v>
      </c>
      <c r="H24" s="23"/>
      <c r="J24" s="22"/>
    </row>
    <row r="25">
      <c r="A25" s="19">
        <f>IFERROR(__xludf.DUMMYFUNCTION("""COMPUTED_VALUE"""),44585.0)</f>
        <v>44585</v>
      </c>
      <c r="B25" s="20">
        <f>IFERROR(__xludf.DUMMYFUNCTION("""COMPUTED_VALUE"""),0.7818765000000001)</f>
        <v>0.7818765</v>
      </c>
      <c r="C25" s="21">
        <f>IFERROR(__xludf.DUMMYFUNCTION("""COMPUTED_VALUE"""),0.554)</f>
        <v>0.554</v>
      </c>
      <c r="D25" s="21">
        <f>IFERROR(__xludf.DUMMYFUNCTION("""COMPUTED_VALUE"""),1.064)</f>
        <v>1.064</v>
      </c>
      <c r="E25" s="20">
        <f>IFERROR(__xludf.DUMMYFUNCTION("""COMPUTED_VALUE"""),0.9447030000000001)</f>
        <v>0.944703</v>
      </c>
      <c r="F25" s="20">
        <f>IFERROR(__xludf.DUMMYFUNCTION("""COMPUTED_VALUE"""),0.7218464571428571)</f>
        <v>0.7218464571</v>
      </c>
      <c r="G25" s="20">
        <f>IFERROR(__xludf.DUMMYFUNCTION("""COMPUTED_VALUE"""),0.879436)</f>
        <v>0.879436</v>
      </c>
      <c r="H25" s="23"/>
      <c r="J25" s="22"/>
    </row>
    <row r="26">
      <c r="A26" s="19">
        <f>IFERROR(__xludf.DUMMYFUNCTION("""COMPUTED_VALUE"""),44586.0)</f>
        <v>44586</v>
      </c>
      <c r="B26" s="20">
        <f>IFERROR(__xludf.DUMMYFUNCTION("""COMPUTED_VALUE"""),0.7818765000000001)</f>
        <v>0.7818765</v>
      </c>
      <c r="C26" s="21">
        <f>IFERROR(__xludf.DUMMYFUNCTION("""COMPUTED_VALUE"""),0.554)</f>
        <v>0.554</v>
      </c>
      <c r="D26" s="21">
        <f>IFERROR(__xludf.DUMMYFUNCTION("""COMPUTED_VALUE"""),1.064)</f>
        <v>1.064</v>
      </c>
      <c r="E26" s="20">
        <f>IFERROR(__xludf.DUMMYFUNCTION("""COMPUTED_VALUE"""),0.991034)</f>
        <v>0.991034</v>
      </c>
      <c r="F26" s="20">
        <f>IFERROR(__xludf.DUMMYFUNCTION("""COMPUTED_VALUE"""),0.7507032107142857)</f>
        <v>0.7507032107</v>
      </c>
      <c r="G26" s="20">
        <f>IFERROR(__xludf.DUMMYFUNCTION("""COMPUTED_VALUE"""),0.879436)</f>
        <v>0.879436</v>
      </c>
      <c r="H26" s="23"/>
      <c r="J26" s="22"/>
    </row>
    <row r="27">
      <c r="A27" s="19">
        <f>IFERROR(__xludf.DUMMYFUNCTION("""COMPUTED_VALUE"""),44587.0)</f>
        <v>44587</v>
      </c>
      <c r="B27" s="20">
        <f>IFERROR(__xludf.DUMMYFUNCTION("""COMPUTED_VALUE"""),0.7818765000000001)</f>
        <v>0.7818765</v>
      </c>
      <c r="C27" s="21">
        <f>IFERROR(__xludf.DUMMYFUNCTION("""COMPUTED_VALUE"""),0.554)</f>
        <v>0.554</v>
      </c>
      <c r="D27" s="21">
        <f>IFERROR(__xludf.DUMMYFUNCTION("""COMPUTED_VALUE"""),1.064)</f>
        <v>1.064</v>
      </c>
      <c r="E27" s="20">
        <f>IFERROR(__xludf.DUMMYFUNCTION("""COMPUTED_VALUE"""),0.9796706000000001)</f>
        <v>0.9796706</v>
      </c>
      <c r="F27" s="20">
        <f>IFERROR(__xludf.DUMMYFUNCTION("""COMPUTED_VALUE"""),0.7856459714285714)</f>
        <v>0.7856459714</v>
      </c>
      <c r="G27" s="20">
        <f>IFERROR(__xludf.DUMMYFUNCTION("""COMPUTED_VALUE"""),0.879436)</f>
        <v>0.879436</v>
      </c>
      <c r="H27" s="23"/>
      <c r="J27" s="22"/>
    </row>
    <row r="28">
      <c r="A28" s="19">
        <f>IFERROR(__xludf.DUMMYFUNCTION("""COMPUTED_VALUE"""),44588.0)</f>
        <v>44588</v>
      </c>
      <c r="B28" s="20">
        <f>IFERROR(__xludf.DUMMYFUNCTION("""COMPUTED_VALUE"""),0.7818765000000001)</f>
        <v>0.7818765</v>
      </c>
      <c r="C28" s="21">
        <f>IFERROR(__xludf.DUMMYFUNCTION("""COMPUTED_VALUE"""),0.554)</f>
        <v>0.554</v>
      </c>
      <c r="D28" s="21">
        <f>IFERROR(__xludf.DUMMYFUNCTION("""COMPUTED_VALUE"""),1.064)</f>
        <v>1.064</v>
      </c>
      <c r="E28" s="20">
        <f>IFERROR(__xludf.DUMMYFUNCTION("""COMPUTED_VALUE"""),0.9753692)</f>
        <v>0.9753692</v>
      </c>
      <c r="F28" s="20">
        <f>IFERROR(__xludf.DUMMYFUNCTION("""COMPUTED_VALUE"""),0.8216923607142856)</f>
        <v>0.8216923607</v>
      </c>
      <c r="G28" s="20">
        <f>IFERROR(__xludf.DUMMYFUNCTION("""COMPUTED_VALUE"""),0.879436)</f>
        <v>0.879436</v>
      </c>
      <c r="H28" s="23"/>
      <c r="J28" s="22"/>
    </row>
    <row r="29">
      <c r="A29" s="19">
        <f>IFERROR(__xludf.DUMMYFUNCTION("""COMPUTED_VALUE"""),44589.0)</f>
        <v>44589</v>
      </c>
      <c r="B29" s="20">
        <f>IFERROR(__xludf.DUMMYFUNCTION("""COMPUTED_VALUE"""),0.7818765000000001)</f>
        <v>0.7818765</v>
      </c>
      <c r="C29" s="21">
        <f>IFERROR(__xludf.DUMMYFUNCTION("""COMPUTED_VALUE"""),0.554)</f>
        <v>0.554</v>
      </c>
      <c r="D29" s="21">
        <f>IFERROR(__xludf.DUMMYFUNCTION("""COMPUTED_VALUE"""),1.064)</f>
        <v>1.064</v>
      </c>
      <c r="E29" s="20">
        <f>IFERROR(__xludf.DUMMYFUNCTION("""COMPUTED_VALUE"""),0.9960094999999999)</f>
        <v>0.9960095</v>
      </c>
      <c r="F29" s="20">
        <f>IFERROR(__xludf.DUMMYFUNCTION("""COMPUTED_VALUE"""),0.8513225714285715)</f>
        <v>0.8513225714</v>
      </c>
      <c r="G29" s="20">
        <f>IFERROR(__xludf.DUMMYFUNCTION("""COMPUTED_VALUE"""),0.879436)</f>
        <v>0.879436</v>
      </c>
      <c r="H29" s="23"/>
      <c r="J29" s="22"/>
    </row>
    <row r="30">
      <c r="A30" s="19">
        <f>IFERROR(__xludf.DUMMYFUNCTION("""COMPUTED_VALUE"""),44590.0)</f>
        <v>44590</v>
      </c>
      <c r="B30" s="20">
        <f>IFERROR(__xludf.DUMMYFUNCTION("""COMPUTED_VALUE"""),0.7818765000000001)</f>
        <v>0.7818765</v>
      </c>
      <c r="C30" s="21">
        <f>IFERROR(__xludf.DUMMYFUNCTION("""COMPUTED_VALUE"""),0.554)</f>
        <v>0.554</v>
      </c>
      <c r="D30" s="21">
        <f>IFERROR(__xludf.DUMMYFUNCTION("""COMPUTED_VALUE"""),1.064)</f>
        <v>1.064</v>
      </c>
      <c r="E30" s="20">
        <f>IFERROR(__xludf.DUMMYFUNCTION("""COMPUTED_VALUE"""),0.9713673999999999)</f>
        <v>0.9713674</v>
      </c>
      <c r="F30" s="20">
        <f>IFERROR(__xludf.DUMMYFUNCTION("""COMPUTED_VALUE"""),0.8809527821428572)</f>
        <v>0.8809527821</v>
      </c>
      <c r="G30" s="20">
        <f>IFERROR(__xludf.DUMMYFUNCTION("""COMPUTED_VALUE"""),0.879436)</f>
        <v>0.879436</v>
      </c>
      <c r="H30" s="23"/>
      <c r="J30" s="22"/>
    </row>
    <row r="31">
      <c r="A31" s="19">
        <f>IFERROR(__xludf.DUMMYFUNCTION("""COMPUTED_VALUE"""),44591.0)</f>
        <v>44591</v>
      </c>
      <c r="B31" s="20">
        <f>IFERROR(__xludf.DUMMYFUNCTION("""COMPUTED_VALUE"""),0.7818765000000001)</f>
        <v>0.7818765</v>
      </c>
      <c r="C31" s="21">
        <f>IFERROR(__xludf.DUMMYFUNCTION("""COMPUTED_VALUE"""),0.554)</f>
        <v>0.554</v>
      </c>
      <c r="D31" s="21">
        <f>IFERROR(__xludf.DUMMYFUNCTION("""COMPUTED_VALUE"""),1.064)</f>
        <v>1.064</v>
      </c>
      <c r="E31" s="20">
        <f>IFERROR(__xludf.DUMMYFUNCTION("""COMPUTED_VALUE"""),0.9937732)</f>
        <v>0.9937732</v>
      </c>
      <c r="F31" s="20">
        <f>IFERROR(__xludf.DUMMYFUNCTION("""COMPUTED_VALUE"""),0.910582992857143)</f>
        <v>0.9105829929</v>
      </c>
      <c r="G31" s="20">
        <f>IFERROR(__xludf.DUMMYFUNCTION("""COMPUTED_VALUE"""),0.879436)</f>
        <v>0.879436</v>
      </c>
      <c r="H31" s="23"/>
      <c r="J31" s="22"/>
    </row>
    <row r="32">
      <c r="A32" s="19">
        <f>IFERROR(__xludf.DUMMYFUNCTION("""COMPUTED_VALUE"""),44592.0)</f>
        <v>44592</v>
      </c>
      <c r="B32" s="20">
        <f>IFERROR(__xludf.DUMMYFUNCTION("""COMPUTED_VALUE"""),0.7720015)</f>
        <v>0.7720015</v>
      </c>
      <c r="C32" s="21">
        <f>IFERROR(__xludf.DUMMYFUNCTION("""COMPUTED_VALUE"""),0.554)</f>
        <v>0.554</v>
      </c>
      <c r="D32" s="21">
        <f>IFERROR(__xludf.DUMMYFUNCTION("""COMPUTED_VALUE"""),1.064)</f>
        <v>1.064</v>
      </c>
      <c r="E32" s="20">
        <f>IFERROR(__xludf.DUMMYFUNCTION("""COMPUTED_VALUE"""),0.936357)</f>
        <v>0.936357</v>
      </c>
      <c r="F32" s="20">
        <f>IFERROR(__xludf.DUMMYFUNCTION("""COMPUTED_VALUE"""),0.9110644928571429)</f>
        <v>0.9110644929</v>
      </c>
      <c r="G32" s="20">
        <f>IFERROR(__xludf.DUMMYFUNCTION("""COMPUTED_VALUE"""),0.879436)</f>
        <v>0.879436</v>
      </c>
      <c r="H32" s="23"/>
      <c r="J32" s="22"/>
    </row>
    <row r="33">
      <c r="A33" s="19">
        <f>IFERROR(__xludf.DUMMYFUNCTION("""COMPUTED_VALUE"""),44593.0)</f>
        <v>44593</v>
      </c>
      <c r="B33" s="20">
        <f>IFERROR(__xludf.DUMMYFUNCTION("""COMPUTED_VALUE"""),0.7720015)</f>
        <v>0.7720015</v>
      </c>
      <c r="C33" s="21">
        <f>IFERROR(__xludf.DUMMYFUNCTION("""COMPUTED_VALUE"""),0.554)</f>
        <v>0.554</v>
      </c>
      <c r="D33" s="21">
        <f>IFERROR(__xludf.DUMMYFUNCTION("""COMPUTED_VALUE"""),1.064)</f>
        <v>1.064</v>
      </c>
      <c r="E33" s="20">
        <f>IFERROR(__xludf.DUMMYFUNCTION("""COMPUTED_VALUE"""),0.8421327999999999)</f>
        <v>0.8421328</v>
      </c>
      <c r="F33" s="20">
        <f>IFERROR(__xludf.DUMMYFUNCTION("""COMPUTED_VALUE"""),0.8943923642857142)</f>
        <v>0.8943923643</v>
      </c>
      <c r="G33" s="20">
        <f>IFERROR(__xludf.DUMMYFUNCTION("""COMPUTED_VALUE"""),0.879436)</f>
        <v>0.879436</v>
      </c>
      <c r="H33" s="23"/>
      <c r="J33" s="22"/>
    </row>
    <row r="34">
      <c r="A34" s="19">
        <f>IFERROR(__xludf.DUMMYFUNCTION("""COMPUTED_VALUE"""),44594.0)</f>
        <v>44594</v>
      </c>
      <c r="B34" s="20">
        <f>IFERROR(__xludf.DUMMYFUNCTION("""COMPUTED_VALUE"""),0.7720015)</f>
        <v>0.7720015</v>
      </c>
      <c r="C34" s="21">
        <f>IFERROR(__xludf.DUMMYFUNCTION("""COMPUTED_VALUE"""),0.554)</f>
        <v>0.554</v>
      </c>
      <c r="D34" s="21">
        <f>IFERROR(__xludf.DUMMYFUNCTION("""COMPUTED_VALUE"""),1.064)</f>
        <v>1.064</v>
      </c>
      <c r="E34" s="20">
        <f>IFERROR(__xludf.DUMMYFUNCTION("""COMPUTED_VALUE"""),0.8270886)</f>
        <v>0.8270886</v>
      </c>
      <c r="F34" s="20">
        <f>IFERROR(__xludf.DUMMYFUNCTION("""COMPUTED_VALUE"""),0.878852907142857)</f>
        <v>0.8788529071</v>
      </c>
      <c r="G34" s="20">
        <f>IFERROR(__xludf.DUMMYFUNCTION("""COMPUTED_VALUE"""),0.879436)</f>
        <v>0.879436</v>
      </c>
      <c r="H34" s="23"/>
      <c r="J34" s="22"/>
    </row>
    <row r="35">
      <c r="A35" s="19">
        <f>IFERROR(__xludf.DUMMYFUNCTION("""COMPUTED_VALUE"""),44595.0)</f>
        <v>44595</v>
      </c>
      <c r="B35" s="20">
        <f>IFERROR(__xludf.DUMMYFUNCTION("""COMPUTED_VALUE"""),0.7720015)</f>
        <v>0.7720015</v>
      </c>
      <c r="C35" s="21">
        <f>IFERROR(__xludf.DUMMYFUNCTION("""COMPUTED_VALUE"""),0.554)</f>
        <v>0.554</v>
      </c>
      <c r="D35" s="21">
        <f>IFERROR(__xludf.DUMMYFUNCTION("""COMPUTED_VALUE"""),1.064)</f>
        <v>1.064</v>
      </c>
      <c r="E35" s="20">
        <f>IFERROR(__xludf.DUMMYFUNCTION("""COMPUTED_VALUE"""),0.8316574999999999)</f>
        <v>0.8316575</v>
      </c>
      <c r="F35" s="20">
        <f>IFERROR(__xludf.DUMMYFUNCTION("""COMPUTED_VALUE"""),0.8638935428571427)</f>
        <v>0.8638935429</v>
      </c>
      <c r="G35" s="20">
        <f>IFERROR(__xludf.DUMMYFUNCTION("""COMPUTED_VALUE"""),0.879436)</f>
        <v>0.879436</v>
      </c>
      <c r="H35" s="23"/>
      <c r="J35" s="22"/>
    </row>
    <row r="36">
      <c r="A36" s="19">
        <f>IFERROR(__xludf.DUMMYFUNCTION("""COMPUTED_VALUE"""),44596.0)</f>
        <v>44596</v>
      </c>
      <c r="B36" s="20">
        <f>IFERROR(__xludf.DUMMYFUNCTION("""COMPUTED_VALUE"""),0.7720015)</f>
        <v>0.7720015</v>
      </c>
      <c r="C36" s="21">
        <f>IFERROR(__xludf.DUMMYFUNCTION("""COMPUTED_VALUE"""),0.554)</f>
        <v>0.554</v>
      </c>
      <c r="D36" s="21">
        <f>IFERROR(__xludf.DUMMYFUNCTION("""COMPUTED_VALUE"""),1.064)</f>
        <v>1.064</v>
      </c>
      <c r="E36" s="20">
        <f>IFERROR(__xludf.DUMMYFUNCTION("""COMPUTED_VALUE"""),0.8709372)</f>
        <v>0.8709372</v>
      </c>
      <c r="F36" s="20">
        <f>IFERROR(__xludf.DUMMYFUNCTION("""COMPUTED_VALUE"""),0.8531358392857143)</f>
        <v>0.8531358393</v>
      </c>
      <c r="G36" s="20">
        <f>IFERROR(__xludf.DUMMYFUNCTION("""COMPUTED_VALUE"""),0.879436)</f>
        <v>0.879436</v>
      </c>
      <c r="H36" s="23"/>
      <c r="J36" s="22"/>
    </row>
    <row r="37">
      <c r="A37" s="19">
        <f>IFERROR(__xludf.DUMMYFUNCTION("""COMPUTED_VALUE"""),44597.0)</f>
        <v>44597</v>
      </c>
      <c r="B37" s="20">
        <f>IFERROR(__xludf.DUMMYFUNCTION("""COMPUTED_VALUE"""),0.7720015)</f>
        <v>0.7720015</v>
      </c>
      <c r="C37" s="21">
        <f>IFERROR(__xludf.DUMMYFUNCTION("""COMPUTED_VALUE"""),0.554)</f>
        <v>0.554</v>
      </c>
      <c r="D37" s="21">
        <f>IFERROR(__xludf.DUMMYFUNCTION("""COMPUTED_VALUE"""),1.064)</f>
        <v>1.064</v>
      </c>
      <c r="E37" s="20">
        <f>IFERROR(__xludf.DUMMYFUNCTION("""COMPUTED_VALUE"""),0.8785341999999999)</f>
        <v>0.8785342</v>
      </c>
      <c r="F37" s="20">
        <f>IFERROR(__xludf.DUMMYFUNCTION("""COMPUTED_VALUE"""),0.8423781357142858)</f>
        <v>0.8423781357</v>
      </c>
      <c r="G37" s="20">
        <f>IFERROR(__xludf.DUMMYFUNCTION("""COMPUTED_VALUE"""),0.879436)</f>
        <v>0.879436</v>
      </c>
      <c r="H37" s="23"/>
      <c r="J37" s="22"/>
    </row>
    <row r="38">
      <c r="A38" s="19">
        <f>IFERROR(__xludf.DUMMYFUNCTION("""COMPUTED_VALUE"""),44598.0)</f>
        <v>44598</v>
      </c>
      <c r="B38" s="20">
        <f>IFERROR(__xludf.DUMMYFUNCTION("""COMPUTED_VALUE"""),0.7720015)</f>
        <v>0.7720015</v>
      </c>
      <c r="C38" s="21">
        <f>IFERROR(__xludf.DUMMYFUNCTION("""COMPUTED_VALUE"""),0.554)</f>
        <v>0.554</v>
      </c>
      <c r="D38" s="21">
        <f>IFERROR(__xludf.DUMMYFUNCTION("""COMPUTED_VALUE"""),1.064)</f>
        <v>1.064</v>
      </c>
      <c r="E38" s="20">
        <f>IFERROR(__xludf.DUMMYFUNCTION("""COMPUTED_VALUE"""),0.8685403999999999)</f>
        <v>0.8685404</v>
      </c>
      <c r="F38" s="20">
        <f>IFERROR(__xludf.DUMMYFUNCTION("""COMPUTED_VALUE"""),0.8316204321428572)</f>
        <v>0.8316204321</v>
      </c>
      <c r="G38" s="20">
        <f>IFERROR(__xludf.DUMMYFUNCTION("""COMPUTED_VALUE"""),0.879436)</f>
        <v>0.879436</v>
      </c>
      <c r="H38" s="23"/>
      <c r="J38" s="22"/>
    </row>
    <row r="39">
      <c r="A39" s="19">
        <f>IFERROR(__xludf.DUMMYFUNCTION("""COMPUTED_VALUE"""),44599.0)</f>
        <v>44599</v>
      </c>
      <c r="B39" s="20">
        <f>IFERROR(__xludf.DUMMYFUNCTION("""COMPUTED_VALUE"""),0.7765013846153846)</f>
        <v>0.7765013846</v>
      </c>
      <c r="C39" s="21">
        <f>IFERROR(__xludf.DUMMYFUNCTION("""COMPUTED_VALUE"""),0.554)</f>
        <v>0.554</v>
      </c>
      <c r="D39" s="21">
        <f>IFERROR(__xludf.DUMMYFUNCTION("""COMPUTED_VALUE"""),0.9921295)</f>
        <v>0.9921295</v>
      </c>
      <c r="E39" s="20">
        <f>IFERROR(__xludf.DUMMYFUNCTION("""COMPUTED_VALUE"""),0.8461880999999999)</f>
        <v>0.8461881</v>
      </c>
      <c r="F39" s="20">
        <f>IFERROR(__xludf.DUMMYFUNCTION("""COMPUTED_VALUE"""),0.8279086785714286)</f>
        <v>0.8279086786</v>
      </c>
      <c r="G39" s="20">
        <f>IFERROR(__xludf.DUMMYFUNCTION("""COMPUTED_VALUE"""),0.879436)</f>
        <v>0.879436</v>
      </c>
      <c r="H39" s="23"/>
      <c r="J39" s="22"/>
    </row>
    <row r="40">
      <c r="A40" s="19">
        <f>IFERROR(__xludf.DUMMYFUNCTION("""COMPUTED_VALUE"""),44600.0)</f>
        <v>44600</v>
      </c>
      <c r="B40" s="20">
        <f>IFERROR(__xludf.DUMMYFUNCTION("""COMPUTED_VALUE"""),0.7765013846153846)</f>
        <v>0.7765013846</v>
      </c>
      <c r="C40" s="21">
        <f>IFERROR(__xludf.DUMMYFUNCTION("""COMPUTED_VALUE"""),0.554)</f>
        <v>0.554</v>
      </c>
      <c r="D40" s="21">
        <f>IFERROR(__xludf.DUMMYFUNCTION("""COMPUTED_VALUE"""),0.9921295)</f>
        <v>0.9921295</v>
      </c>
      <c r="E40" s="20">
        <f>IFERROR(__xludf.DUMMYFUNCTION("""COMPUTED_VALUE"""),0.858354)</f>
        <v>0.858354</v>
      </c>
      <c r="F40" s="20">
        <f>IFERROR(__xludf.DUMMYFUNCTION("""COMPUTED_VALUE"""),0.8342277928571428)</f>
        <v>0.8342277929</v>
      </c>
      <c r="G40" s="20">
        <f>IFERROR(__xludf.DUMMYFUNCTION("""COMPUTED_VALUE"""),0.879436)</f>
        <v>0.879436</v>
      </c>
      <c r="H40" s="23"/>
      <c r="J40" s="22"/>
    </row>
    <row r="41">
      <c r="A41" s="19">
        <f>IFERROR(__xludf.DUMMYFUNCTION("""COMPUTED_VALUE"""),44601.0)</f>
        <v>44601</v>
      </c>
      <c r="B41" s="20">
        <f>IFERROR(__xludf.DUMMYFUNCTION("""COMPUTED_VALUE"""),0.7765013846153846)</f>
        <v>0.7765013846</v>
      </c>
      <c r="C41" s="21">
        <f>IFERROR(__xludf.DUMMYFUNCTION("""COMPUTED_VALUE"""),0.554)</f>
        <v>0.554</v>
      </c>
      <c r="D41" s="21">
        <f>IFERROR(__xludf.DUMMYFUNCTION("""COMPUTED_VALUE"""),0.9921295)</f>
        <v>0.9921295</v>
      </c>
      <c r="E41" s="20">
        <f>IFERROR(__xludf.DUMMYFUNCTION("""COMPUTED_VALUE"""),0.8059454)</f>
        <v>0.8059454</v>
      </c>
      <c r="F41" s="20">
        <f>IFERROR(__xludf.DUMMYFUNCTION("""COMPUTED_VALUE"""),0.831903982142857)</f>
        <v>0.8319039821</v>
      </c>
      <c r="G41" s="20">
        <f>IFERROR(__xludf.DUMMYFUNCTION("""COMPUTED_VALUE"""),0.879436)</f>
        <v>0.879436</v>
      </c>
      <c r="H41" s="23"/>
      <c r="J41" s="22"/>
    </row>
    <row r="42">
      <c r="A42" s="19">
        <f>IFERROR(__xludf.DUMMYFUNCTION("""COMPUTED_VALUE"""),44602.0)</f>
        <v>44602</v>
      </c>
      <c r="B42" s="20">
        <f>IFERROR(__xludf.DUMMYFUNCTION("""COMPUTED_VALUE"""),0.7765013846153846)</f>
        <v>0.7765013846</v>
      </c>
      <c r="C42" s="21">
        <f>IFERROR(__xludf.DUMMYFUNCTION("""COMPUTED_VALUE"""),0.554)</f>
        <v>0.554</v>
      </c>
      <c r="D42" s="21">
        <f>IFERROR(__xludf.DUMMYFUNCTION("""COMPUTED_VALUE"""),0.9921295)</f>
        <v>0.9921295</v>
      </c>
      <c r="E42" s="20">
        <f>IFERROR(__xludf.DUMMYFUNCTION("""COMPUTED_VALUE"""),0.7955557)</f>
        <v>0.7955557</v>
      </c>
      <c r="F42" s="20">
        <f>IFERROR(__xludf.DUMMYFUNCTION("""COMPUTED_VALUE"""),0.8238919749999999)</f>
        <v>0.823891975</v>
      </c>
      <c r="G42" s="20">
        <f>IFERROR(__xludf.DUMMYFUNCTION("""COMPUTED_VALUE"""),0.879436)</f>
        <v>0.879436</v>
      </c>
      <c r="H42" s="23"/>
      <c r="J42" s="22"/>
    </row>
    <row r="43">
      <c r="A43" s="19">
        <f>IFERROR(__xludf.DUMMYFUNCTION("""COMPUTED_VALUE"""),44603.0)</f>
        <v>44603</v>
      </c>
      <c r="B43" s="20">
        <f>IFERROR(__xludf.DUMMYFUNCTION("""COMPUTED_VALUE"""),0.7765013846153846)</f>
        <v>0.7765013846</v>
      </c>
      <c r="C43" s="21">
        <f>IFERROR(__xludf.DUMMYFUNCTION("""COMPUTED_VALUE"""),0.554)</f>
        <v>0.554</v>
      </c>
      <c r="D43" s="21">
        <f>IFERROR(__xludf.DUMMYFUNCTION("""COMPUTED_VALUE"""),0.9921295)</f>
        <v>0.9921295</v>
      </c>
      <c r="E43" s="20">
        <f>IFERROR(__xludf.DUMMYFUNCTION("""COMPUTED_VALUE"""),0.7941111999999999)</f>
        <v>0.7941112</v>
      </c>
      <c r="F43" s="20">
        <f>IFERROR(__xludf.DUMMYFUNCTION("""COMPUTED_VALUE"""),0.8172801392857141)</f>
        <v>0.8172801393</v>
      </c>
      <c r="G43" s="20">
        <f>IFERROR(__xludf.DUMMYFUNCTION("""COMPUTED_VALUE"""),0.879436)</f>
        <v>0.879436</v>
      </c>
      <c r="H43" s="23"/>
      <c r="J43" s="22"/>
    </row>
    <row r="44">
      <c r="A44" s="19">
        <f>IFERROR(__xludf.DUMMYFUNCTION("""COMPUTED_VALUE"""),44604.0)</f>
        <v>44604</v>
      </c>
      <c r="B44" s="20">
        <f>IFERROR(__xludf.DUMMYFUNCTION("""COMPUTED_VALUE"""),0.7765013846153846)</f>
        <v>0.7765013846</v>
      </c>
      <c r="C44" s="21">
        <f>IFERROR(__xludf.DUMMYFUNCTION("""COMPUTED_VALUE"""),0.554)</f>
        <v>0.554</v>
      </c>
      <c r="D44" s="21">
        <f>IFERROR(__xludf.DUMMYFUNCTION("""COMPUTED_VALUE"""),0.9921295)</f>
        <v>0.9921295</v>
      </c>
      <c r="E44" s="20">
        <f>IFERROR(__xludf.DUMMYFUNCTION("""COMPUTED_VALUE"""),0.8449789999999999)</f>
        <v>0.844979</v>
      </c>
      <c r="F44" s="20">
        <f>IFERROR(__xludf.DUMMYFUNCTION("""COMPUTED_VALUE"""),0.8106683035714283)</f>
        <v>0.8106683036</v>
      </c>
      <c r="G44" s="20">
        <f>IFERROR(__xludf.DUMMYFUNCTION("""COMPUTED_VALUE"""),0.879436)</f>
        <v>0.879436</v>
      </c>
      <c r="H44" s="23"/>
      <c r="J44" s="22"/>
    </row>
    <row r="45">
      <c r="A45" s="19">
        <f>IFERROR(__xludf.DUMMYFUNCTION("""COMPUTED_VALUE"""),44605.0)</f>
        <v>44605</v>
      </c>
      <c r="B45" s="20">
        <f>IFERROR(__xludf.DUMMYFUNCTION("""COMPUTED_VALUE"""),0.7765013846153846)</f>
        <v>0.7765013846</v>
      </c>
      <c r="C45" s="21">
        <f>IFERROR(__xludf.DUMMYFUNCTION("""COMPUTED_VALUE"""),0.554)</f>
        <v>0.554</v>
      </c>
      <c r="D45" s="21">
        <f>IFERROR(__xludf.DUMMYFUNCTION("""COMPUTED_VALUE"""),0.9921295)</f>
        <v>0.9921295</v>
      </c>
      <c r="E45" s="20">
        <f>IFERROR(__xludf.DUMMYFUNCTION("""COMPUTED_VALUE"""),0.8468943)</f>
        <v>0.8468943</v>
      </c>
      <c r="F45" s="20">
        <f>IFERROR(__xludf.DUMMYFUNCTION("""COMPUTED_VALUE"""),0.8040564678571426)</f>
        <v>0.8040564679</v>
      </c>
      <c r="G45" s="20">
        <f>IFERROR(__xludf.DUMMYFUNCTION("""COMPUTED_VALUE"""),0.879436)</f>
        <v>0.879436</v>
      </c>
      <c r="H45" s="23"/>
      <c r="J45" s="22"/>
    </row>
    <row r="46">
      <c r="A46" s="19">
        <f>IFERROR(__xludf.DUMMYFUNCTION("""COMPUTED_VALUE"""),44606.0)</f>
        <v>44606</v>
      </c>
      <c r="B46" s="20">
        <f>IFERROR(__xludf.DUMMYFUNCTION("""COMPUTED_VALUE"""),0.8378375769230769)</f>
        <v>0.8378375769</v>
      </c>
      <c r="C46" s="21">
        <f>IFERROR(__xludf.DUMMYFUNCTION("""COMPUTED_VALUE"""),0.554)</f>
        <v>0.554</v>
      </c>
      <c r="D46" s="21">
        <f>IFERROR(__xludf.DUMMYFUNCTION("""COMPUTED_VALUE"""),1.5685)</f>
        <v>1.5685</v>
      </c>
      <c r="E46" s="20">
        <f>IFERROR(__xludf.DUMMYFUNCTION("""COMPUTED_VALUE"""),0.8716006)</f>
        <v>0.8716006</v>
      </c>
      <c r="F46" s="20">
        <f>IFERROR(__xludf.DUMMYFUNCTION("""COMPUTED_VALUE"""),0.8057440107142856)</f>
        <v>0.8057440107</v>
      </c>
      <c r="G46" s="20">
        <f>IFERROR(__xludf.DUMMYFUNCTION("""COMPUTED_VALUE"""),0.879436)</f>
        <v>0.879436</v>
      </c>
      <c r="H46" s="23"/>
      <c r="J46" s="22"/>
    </row>
    <row r="47">
      <c r="A47" s="19">
        <f>IFERROR(__xludf.DUMMYFUNCTION("""COMPUTED_VALUE"""),44607.0)</f>
        <v>44607</v>
      </c>
      <c r="B47" s="20">
        <f>IFERROR(__xludf.DUMMYFUNCTION("""COMPUTED_VALUE"""),0.8378375769230769)</f>
        <v>0.8378375769</v>
      </c>
      <c r="C47" s="21">
        <f>IFERROR(__xludf.DUMMYFUNCTION("""COMPUTED_VALUE"""),0.554)</f>
        <v>0.554</v>
      </c>
      <c r="D47" s="21">
        <f>IFERROR(__xludf.DUMMYFUNCTION("""COMPUTED_VALUE"""),1.5685)</f>
        <v>1.5685</v>
      </c>
      <c r="E47" s="20">
        <f>IFERROR(__xludf.DUMMYFUNCTION("""COMPUTED_VALUE"""),0.8142807)</f>
        <v>0.8142807</v>
      </c>
      <c r="F47" s="20">
        <f>IFERROR(__xludf.DUMMYFUNCTION("""COMPUTED_VALUE"""),0.7925203392857142)</f>
        <v>0.7925203393</v>
      </c>
      <c r="G47" s="20">
        <f>IFERROR(__xludf.DUMMYFUNCTION("""COMPUTED_VALUE"""),0.879436)</f>
        <v>0.879436</v>
      </c>
      <c r="H47" s="23"/>
      <c r="J47" s="22"/>
    </row>
    <row r="48">
      <c r="A48" s="19">
        <f>IFERROR(__xludf.DUMMYFUNCTION("""COMPUTED_VALUE"""),44608.0)</f>
        <v>44608</v>
      </c>
      <c r="B48" s="20">
        <f>IFERROR(__xludf.DUMMYFUNCTION("""COMPUTED_VALUE"""),0.8378375769230769)</f>
        <v>0.8378375769</v>
      </c>
      <c r="C48" s="21">
        <f>IFERROR(__xludf.DUMMYFUNCTION("""COMPUTED_VALUE"""),0.554)</f>
        <v>0.554</v>
      </c>
      <c r="D48" s="21">
        <f>IFERROR(__xludf.DUMMYFUNCTION("""COMPUTED_VALUE"""),1.5685)</f>
        <v>1.5685</v>
      </c>
      <c r="E48" s="20">
        <f>IFERROR(__xludf.DUMMYFUNCTION("""COMPUTED_VALUE"""),0.7169428)</f>
        <v>0.7169428</v>
      </c>
      <c r="F48" s="20">
        <f>IFERROR(__xludf.DUMMYFUNCTION("""COMPUTED_VALUE"""),0.7862600749999997)</f>
        <v>0.786260075</v>
      </c>
      <c r="G48" s="20">
        <f>IFERROR(__xludf.DUMMYFUNCTION("""COMPUTED_VALUE"""),0.879436)</f>
        <v>0.879436</v>
      </c>
      <c r="H48" s="23"/>
      <c r="J48" s="22"/>
    </row>
    <row r="49">
      <c r="A49" s="19">
        <f>IFERROR(__xludf.DUMMYFUNCTION("""COMPUTED_VALUE"""),44609.0)</f>
        <v>44609</v>
      </c>
      <c r="B49" s="20">
        <f>IFERROR(__xludf.DUMMYFUNCTION("""COMPUTED_VALUE"""),0.8378375769230769)</f>
        <v>0.8378375769</v>
      </c>
      <c r="C49" s="21">
        <f>IFERROR(__xludf.DUMMYFUNCTION("""COMPUTED_VALUE"""),0.554)</f>
        <v>0.554</v>
      </c>
      <c r="D49" s="21">
        <f>IFERROR(__xludf.DUMMYFUNCTION("""COMPUTED_VALUE"""),1.5685)</f>
        <v>1.5685</v>
      </c>
      <c r="E49" s="20">
        <f>IFERROR(__xludf.DUMMYFUNCTION("""COMPUTED_VALUE"""),0.7712025)</f>
        <v>0.7712025</v>
      </c>
      <c r="F49" s="20">
        <f>IFERROR(__xludf.DUMMYFUNCTION("""COMPUTED_VALUE"""),0.787675914285714)</f>
        <v>0.7876759143</v>
      </c>
      <c r="G49" s="20">
        <f>IFERROR(__xludf.DUMMYFUNCTION("""COMPUTED_VALUE"""),0.879436)</f>
        <v>0.879436</v>
      </c>
      <c r="H49" s="23"/>
      <c r="J49" s="22"/>
    </row>
    <row r="50">
      <c r="A50" s="19">
        <f>IFERROR(__xludf.DUMMYFUNCTION("""COMPUTED_VALUE"""),44610.0)</f>
        <v>44610</v>
      </c>
      <c r="B50" s="20">
        <f>IFERROR(__xludf.DUMMYFUNCTION("""COMPUTED_VALUE"""),0.8378375769230769)</f>
        <v>0.8378375769</v>
      </c>
      <c r="C50" s="21">
        <f>IFERROR(__xludf.DUMMYFUNCTION("""COMPUTED_VALUE"""),0.554)</f>
        <v>0.554</v>
      </c>
      <c r="D50" s="21">
        <f>IFERROR(__xludf.DUMMYFUNCTION("""COMPUTED_VALUE"""),1.5685)</f>
        <v>1.5685</v>
      </c>
      <c r="E50" s="20">
        <f>IFERROR(__xludf.DUMMYFUNCTION("""COMPUTED_VALUE"""),0.7757286)</f>
        <v>0.7757286</v>
      </c>
      <c r="F50" s="20">
        <f>IFERROR(__xludf.DUMMYFUNCTION("""COMPUTED_VALUE"""),0.7820966285714285)</f>
        <v>0.7820966286</v>
      </c>
      <c r="G50" s="20">
        <f>IFERROR(__xludf.DUMMYFUNCTION("""COMPUTED_VALUE"""),0.879436)</f>
        <v>0.879436</v>
      </c>
      <c r="H50" s="23"/>
      <c r="J50" s="22"/>
    </row>
    <row r="51">
      <c r="A51" s="19">
        <f>IFERROR(__xludf.DUMMYFUNCTION("""COMPUTED_VALUE"""),44611.0)</f>
        <v>44611</v>
      </c>
      <c r="B51" s="20">
        <f>IFERROR(__xludf.DUMMYFUNCTION("""COMPUTED_VALUE"""),0.8378375769230769)</f>
        <v>0.8378375769</v>
      </c>
      <c r="C51" s="21">
        <f>IFERROR(__xludf.DUMMYFUNCTION("""COMPUTED_VALUE"""),0.554)</f>
        <v>0.554</v>
      </c>
      <c r="D51" s="21">
        <f>IFERROR(__xludf.DUMMYFUNCTION("""COMPUTED_VALUE"""),1.5685)</f>
        <v>1.5685</v>
      </c>
      <c r="E51" s="20">
        <f>IFERROR(__xludf.DUMMYFUNCTION("""COMPUTED_VALUE"""),0.8303520999999999)</f>
        <v>0.8303521</v>
      </c>
      <c r="F51" s="20">
        <f>IFERROR(__xludf.DUMMYFUNCTION("""COMPUTED_VALUE"""),0.7765173428571428)</f>
        <v>0.7765173429</v>
      </c>
      <c r="G51" s="20">
        <f>IFERROR(__xludf.DUMMYFUNCTION("""COMPUTED_VALUE"""),0.879436)</f>
        <v>0.879436</v>
      </c>
      <c r="H51" s="23"/>
      <c r="J51" s="22"/>
    </row>
    <row r="52">
      <c r="A52" s="19">
        <f>IFERROR(__xludf.DUMMYFUNCTION("""COMPUTED_VALUE"""),44612.0)</f>
        <v>44612</v>
      </c>
      <c r="B52" s="20">
        <f>IFERROR(__xludf.DUMMYFUNCTION("""COMPUTED_VALUE"""),0.8378375769230769)</f>
        <v>0.8378375769</v>
      </c>
      <c r="C52" s="21">
        <f>IFERROR(__xludf.DUMMYFUNCTION("""COMPUTED_VALUE"""),0.554)</f>
        <v>0.554</v>
      </c>
      <c r="D52" s="21">
        <f>IFERROR(__xludf.DUMMYFUNCTION("""COMPUTED_VALUE"""),1.5685)</f>
        <v>1.5685</v>
      </c>
      <c r="E52" s="20">
        <f>IFERROR(__xludf.DUMMYFUNCTION("""COMPUTED_VALUE"""),0.8240177)</f>
        <v>0.8240177</v>
      </c>
      <c r="F52" s="20">
        <f>IFERROR(__xludf.DUMMYFUNCTION("""COMPUTED_VALUE"""),0.7709380571428571)</f>
        <v>0.7709380571</v>
      </c>
      <c r="G52" s="20">
        <f>IFERROR(__xludf.DUMMYFUNCTION("""COMPUTED_VALUE"""),0.879436)</f>
        <v>0.879436</v>
      </c>
      <c r="H52" s="23"/>
      <c r="J52" s="22"/>
    </row>
    <row r="53">
      <c r="A53" s="19">
        <f>IFERROR(__xludf.DUMMYFUNCTION("""COMPUTED_VALUE"""),44613.0)</f>
        <v>44613</v>
      </c>
      <c r="B53" s="20">
        <f>IFERROR(__xludf.DUMMYFUNCTION("""COMPUTED_VALUE"""),0.9100710799999999)</f>
        <v>0.91007108</v>
      </c>
      <c r="C53" s="21">
        <f>IFERROR(__xludf.DUMMYFUNCTION("""COMPUTED_VALUE"""),0.6425000000000001)</f>
        <v>0.6425</v>
      </c>
      <c r="D53" s="21">
        <f>IFERROR(__xludf.DUMMYFUNCTION("""COMPUTED_VALUE"""),1.8315000000000001)</f>
        <v>1.8315</v>
      </c>
      <c r="E53" s="20">
        <f>IFERROR(__xludf.DUMMYFUNCTION("""COMPUTED_VALUE"""),0.7739417)</f>
        <v>0.7739417</v>
      </c>
      <c r="F53" s="20">
        <f>IFERROR(__xludf.DUMMYFUNCTION("""COMPUTED_VALUE"""),0.7591313714285713)</f>
        <v>0.7591313714</v>
      </c>
      <c r="G53" s="20">
        <f>IFERROR(__xludf.DUMMYFUNCTION("""COMPUTED_VALUE"""),0.879436)</f>
        <v>0.879436</v>
      </c>
      <c r="H53" s="23"/>
      <c r="J53" s="22"/>
    </row>
    <row r="54">
      <c r="A54" s="19">
        <f>IFERROR(__xludf.DUMMYFUNCTION("""COMPUTED_VALUE"""),44614.0)</f>
        <v>44614</v>
      </c>
      <c r="B54" s="20">
        <f>IFERROR(__xludf.DUMMYFUNCTION("""COMPUTED_VALUE"""),0.9100710799999999)</f>
        <v>0.91007108</v>
      </c>
      <c r="C54" s="21">
        <f>IFERROR(__xludf.DUMMYFUNCTION("""COMPUTED_VALUE"""),0.6425000000000001)</f>
        <v>0.6425</v>
      </c>
      <c r="D54" s="21">
        <f>IFERROR(__xludf.DUMMYFUNCTION("""COMPUTED_VALUE"""),1.8315000000000001)</f>
        <v>1.8315</v>
      </c>
      <c r="E54" s="20">
        <f>IFERROR(__xludf.DUMMYFUNCTION("""COMPUTED_VALUE"""),0.8463593)</f>
        <v>0.8463593</v>
      </c>
      <c r="F54" s="20">
        <f>IFERROR(__xludf.DUMMYFUNCTION("""COMPUTED_VALUE"""),0.7764141642857144)</f>
        <v>0.7764141643</v>
      </c>
      <c r="G54" s="20">
        <f>IFERROR(__xludf.DUMMYFUNCTION("""COMPUTED_VALUE"""),0.879436)</f>
        <v>0.879436</v>
      </c>
      <c r="H54" s="23"/>
      <c r="J54" s="22"/>
    </row>
    <row r="55">
      <c r="A55" s="19">
        <f>IFERROR(__xludf.DUMMYFUNCTION("""COMPUTED_VALUE"""),44615.0)</f>
        <v>44615</v>
      </c>
      <c r="B55" s="20">
        <f>IFERROR(__xludf.DUMMYFUNCTION("""COMPUTED_VALUE"""),0.9100710799999999)</f>
        <v>0.91007108</v>
      </c>
      <c r="C55" s="21">
        <f>IFERROR(__xludf.DUMMYFUNCTION("""COMPUTED_VALUE"""),0.6425000000000001)</f>
        <v>0.6425</v>
      </c>
      <c r="D55" s="21">
        <f>IFERROR(__xludf.DUMMYFUNCTION("""COMPUTED_VALUE"""),1.8315000000000001)</f>
        <v>1.8315</v>
      </c>
      <c r="E55" s="20">
        <f>IFERROR(__xludf.DUMMYFUNCTION("""COMPUTED_VALUE"""),0.8986929999999999)</f>
        <v>0.898693</v>
      </c>
      <c r="F55" s="20">
        <f>IFERROR(__xludf.DUMMYFUNCTION("""COMPUTED_VALUE"""),0.8049625285714285)</f>
        <v>0.8049625286</v>
      </c>
      <c r="G55" s="20">
        <f>IFERROR(__xludf.DUMMYFUNCTION("""COMPUTED_VALUE"""),0.879436)</f>
        <v>0.879436</v>
      </c>
      <c r="H55" s="23"/>
      <c r="J55" s="22"/>
    </row>
    <row r="56">
      <c r="A56" s="19">
        <f>IFERROR(__xludf.DUMMYFUNCTION("""COMPUTED_VALUE"""),44616.0)</f>
        <v>44616</v>
      </c>
      <c r="B56" s="20">
        <f>IFERROR(__xludf.DUMMYFUNCTION("""COMPUTED_VALUE"""),0.9100710799999999)</f>
        <v>0.91007108</v>
      </c>
      <c r="C56" s="21">
        <f>IFERROR(__xludf.DUMMYFUNCTION("""COMPUTED_VALUE"""),0.6425000000000001)</f>
        <v>0.6425</v>
      </c>
      <c r="D56" s="21">
        <f>IFERROR(__xludf.DUMMYFUNCTION("""COMPUTED_VALUE"""),1.8315000000000001)</f>
        <v>1.8315</v>
      </c>
      <c r="E56" s="20">
        <f>IFERROR(__xludf.DUMMYFUNCTION("""COMPUTED_VALUE"""),1.3207973)</f>
        <v>1.3207973</v>
      </c>
      <c r="F56" s="20">
        <f>IFERROR(__xludf.DUMMYFUNCTION("""COMPUTED_VALUE"""),0.8892273214285714)</f>
        <v>0.8892273214</v>
      </c>
      <c r="G56" s="20">
        <f>IFERROR(__xludf.DUMMYFUNCTION("""COMPUTED_VALUE"""),0.879436)</f>
        <v>0.879436</v>
      </c>
      <c r="H56" s="23"/>
      <c r="J56" s="22"/>
    </row>
    <row r="57">
      <c r="A57" s="19">
        <f>IFERROR(__xludf.DUMMYFUNCTION("""COMPUTED_VALUE"""),44617.0)</f>
        <v>44617</v>
      </c>
      <c r="B57" s="20">
        <f>IFERROR(__xludf.DUMMYFUNCTION("""COMPUTED_VALUE"""),0.9100710799999999)</f>
        <v>0.91007108</v>
      </c>
      <c r="C57" s="21">
        <f>IFERROR(__xludf.DUMMYFUNCTION("""COMPUTED_VALUE"""),0.6425000000000001)</f>
        <v>0.6425</v>
      </c>
      <c r="D57" s="21">
        <f>IFERROR(__xludf.DUMMYFUNCTION("""COMPUTED_VALUE"""),1.8315000000000001)</f>
        <v>1.8315</v>
      </c>
      <c r="E57" s="20">
        <f>IFERROR(__xludf.DUMMYFUNCTION("""COMPUTED_VALUE"""),1.1368642999999998)</f>
        <v>1.1368643</v>
      </c>
      <c r="F57" s="20">
        <f>IFERROR(__xludf.DUMMYFUNCTION("""COMPUTED_VALUE"""),0.9160017785714285)</f>
        <v>0.9160017786</v>
      </c>
      <c r="G57" s="20">
        <f>IFERROR(__xludf.DUMMYFUNCTION("""COMPUTED_VALUE"""),0.879436)</f>
        <v>0.879436</v>
      </c>
      <c r="H57" s="23"/>
      <c r="J57" s="22"/>
    </row>
    <row r="58">
      <c r="A58" s="19">
        <f>IFERROR(__xludf.DUMMYFUNCTION("""COMPUTED_VALUE"""),44618.0)</f>
        <v>44618</v>
      </c>
      <c r="B58" s="20">
        <f>IFERROR(__xludf.DUMMYFUNCTION("""COMPUTED_VALUE"""),0.9100710799999999)</f>
        <v>0.91007108</v>
      </c>
      <c r="C58" s="21">
        <f>IFERROR(__xludf.DUMMYFUNCTION("""COMPUTED_VALUE"""),0.6425000000000001)</f>
        <v>0.6425</v>
      </c>
      <c r="D58" s="21">
        <f>IFERROR(__xludf.DUMMYFUNCTION("""COMPUTED_VALUE"""),1.8315000000000001)</f>
        <v>1.8315</v>
      </c>
      <c r="E58" s="20">
        <f>IFERROR(__xludf.DUMMYFUNCTION("""COMPUTED_VALUE"""),1.1069685)</f>
        <v>1.1069685</v>
      </c>
      <c r="F58" s="20">
        <f>IFERROR(__xludf.DUMMYFUNCTION("""COMPUTED_VALUE"""),0.9427762357142857)</f>
        <v>0.9427762357</v>
      </c>
      <c r="G58" s="20">
        <f>IFERROR(__xludf.DUMMYFUNCTION("""COMPUTED_VALUE"""),0.879436)</f>
        <v>0.879436</v>
      </c>
      <c r="H58" s="23"/>
      <c r="J58" s="22"/>
    </row>
    <row r="59">
      <c r="A59" s="19">
        <f>IFERROR(__xludf.DUMMYFUNCTION("""COMPUTED_VALUE"""),44619.0)</f>
        <v>44619</v>
      </c>
      <c r="B59" s="20">
        <f>IFERROR(__xludf.DUMMYFUNCTION("""COMPUTED_VALUE"""),0.9100710799999999)</f>
        <v>0.91007108</v>
      </c>
      <c r="C59" s="21">
        <f>IFERROR(__xludf.DUMMYFUNCTION("""COMPUTED_VALUE"""),0.6425000000000001)</f>
        <v>0.6425</v>
      </c>
      <c r="D59" s="21">
        <f>IFERROR(__xludf.DUMMYFUNCTION("""COMPUTED_VALUE"""),1.8315000000000001)</f>
        <v>1.8315</v>
      </c>
      <c r="E59" s="20">
        <f>IFERROR(__xludf.DUMMYFUNCTION("""COMPUTED_VALUE"""),1.1355589)</f>
        <v>1.1355589</v>
      </c>
      <c r="F59" s="20">
        <f>IFERROR(__xludf.DUMMYFUNCTION("""COMPUTED_VALUE"""),0.969550692857143)</f>
        <v>0.9695506929</v>
      </c>
      <c r="G59" s="20">
        <f>IFERROR(__xludf.DUMMYFUNCTION("""COMPUTED_VALUE"""),0.879436)</f>
        <v>0.879436</v>
      </c>
      <c r="H59" s="23"/>
      <c r="J59" s="22"/>
    </row>
    <row r="60">
      <c r="A60" s="19">
        <f>IFERROR(__xludf.DUMMYFUNCTION("""COMPUTED_VALUE"""),44620.0)</f>
        <v>44620</v>
      </c>
      <c r="B60" s="20">
        <f>IFERROR(__xludf.DUMMYFUNCTION("""COMPUTED_VALUE"""),0.9776990416666668)</f>
        <v>0.9776990417</v>
      </c>
      <c r="C60" s="21">
        <f>IFERROR(__xludf.DUMMYFUNCTION("""COMPUTED_VALUE"""),0.7185)</f>
        <v>0.7185</v>
      </c>
      <c r="D60" s="21">
        <f>IFERROR(__xludf.DUMMYFUNCTION("""COMPUTED_VALUE"""),2.1615)</f>
        <v>2.1615</v>
      </c>
      <c r="E60" s="20">
        <f>IFERROR(__xludf.DUMMYFUNCTION("""COMPUTED_VALUE"""),1.1523472)</f>
        <v>1.1523472</v>
      </c>
      <c r="F60" s="20">
        <f>IFERROR(__xludf.DUMMYFUNCTION("""COMPUTED_VALUE"""),1.006113357142857)</f>
        <v>1.006113357</v>
      </c>
      <c r="G60" s="20">
        <f>IFERROR(__xludf.DUMMYFUNCTION("""COMPUTED_VALUE"""),0.879436)</f>
        <v>0.879436</v>
      </c>
      <c r="H60" s="23"/>
      <c r="J60" s="22"/>
    </row>
    <row r="61">
      <c r="A61" s="19">
        <f>IFERROR(__xludf.DUMMYFUNCTION("""COMPUTED_VALUE"""),44621.0)</f>
        <v>44621</v>
      </c>
      <c r="B61" s="20">
        <f>IFERROR(__xludf.DUMMYFUNCTION("""COMPUTED_VALUE"""),0.9776990416666668)</f>
        <v>0.9776990417</v>
      </c>
      <c r="C61" s="21">
        <f>IFERROR(__xludf.DUMMYFUNCTION("""COMPUTED_VALUE"""),0.7185)</f>
        <v>0.7185</v>
      </c>
      <c r="D61" s="21">
        <f>IFERROR(__xludf.DUMMYFUNCTION("""COMPUTED_VALUE"""),2.1615)</f>
        <v>2.1615</v>
      </c>
      <c r="E61" s="20">
        <f>IFERROR(__xludf.DUMMYFUNCTION("""COMPUTED_VALUE"""),1.1910705)</f>
        <v>1.1910705</v>
      </c>
      <c r="F61" s="20">
        <f>IFERROR(__xludf.DUMMYFUNCTION("""COMPUTED_VALUE"""),1.0638196035714285)</f>
        <v>1.063819604</v>
      </c>
      <c r="G61" s="20">
        <f>IFERROR(__xludf.DUMMYFUNCTION("""COMPUTED_VALUE"""),0.879436)</f>
        <v>0.879436</v>
      </c>
      <c r="H61" s="23"/>
      <c r="J61" s="22"/>
    </row>
    <row r="62">
      <c r="A62" s="19">
        <f>IFERROR(__xludf.DUMMYFUNCTION("""COMPUTED_VALUE"""),44622.0)</f>
        <v>44622</v>
      </c>
      <c r="B62" s="20">
        <f>IFERROR(__xludf.DUMMYFUNCTION("""COMPUTED_VALUE"""),0.9776990416666668)</f>
        <v>0.9776990417</v>
      </c>
      <c r="C62" s="21">
        <f>IFERROR(__xludf.DUMMYFUNCTION("""COMPUTED_VALUE"""),0.7185)</f>
        <v>0.7185</v>
      </c>
      <c r="D62" s="21">
        <f>IFERROR(__xludf.DUMMYFUNCTION("""COMPUTED_VALUE"""),2.1615)</f>
        <v>2.1615</v>
      </c>
      <c r="E62" s="20">
        <f>IFERROR(__xludf.DUMMYFUNCTION("""COMPUTED_VALUE"""),1.7126206)</f>
        <v>1.7126206</v>
      </c>
      <c r="F62" s="20">
        <f>IFERROR(__xludf.DUMMYFUNCTION("""COMPUTED_VALUE"""),1.1658184999999999)</f>
        <v>1.1658185</v>
      </c>
      <c r="G62" s="20">
        <f>IFERROR(__xludf.DUMMYFUNCTION("""COMPUTED_VALUE"""),0.879436)</f>
        <v>0.879436</v>
      </c>
      <c r="H62" s="23"/>
      <c r="J62" s="22"/>
    </row>
    <row r="63">
      <c r="A63" s="19">
        <f>IFERROR(__xludf.DUMMYFUNCTION("""COMPUTED_VALUE"""),44623.0)</f>
        <v>44623</v>
      </c>
      <c r="B63" s="20">
        <f>IFERROR(__xludf.DUMMYFUNCTION("""COMPUTED_VALUE"""),0.9776990416666668)</f>
        <v>0.9776990417</v>
      </c>
      <c r="C63" s="21">
        <f>IFERROR(__xludf.DUMMYFUNCTION("""COMPUTED_VALUE"""),0.7185)</f>
        <v>0.7185</v>
      </c>
      <c r="D63" s="21">
        <f>IFERROR(__xludf.DUMMYFUNCTION("""COMPUTED_VALUE"""),2.1615)</f>
        <v>2.1615</v>
      </c>
      <c r="E63" s="20">
        <f>IFERROR(__xludf.DUMMYFUNCTION("""COMPUTED_VALUE"""),1.7626324)</f>
        <v>1.7626324</v>
      </c>
      <c r="F63" s="20">
        <f>IFERROR(__xludf.DUMMYFUNCTION("""COMPUTED_VALUE"""),1.1936610464285715)</f>
        <v>1.193661046</v>
      </c>
      <c r="G63" s="20">
        <f>IFERROR(__xludf.DUMMYFUNCTION("""COMPUTED_VALUE"""),0.879436)</f>
        <v>0.879436</v>
      </c>
      <c r="H63" s="23"/>
      <c r="J63" s="22"/>
    </row>
    <row r="64">
      <c r="A64" s="19">
        <f>IFERROR(__xludf.DUMMYFUNCTION("""COMPUTED_VALUE"""),44624.0)</f>
        <v>44624</v>
      </c>
      <c r="B64" s="20">
        <f>IFERROR(__xludf.DUMMYFUNCTION("""COMPUTED_VALUE"""),0.9776990416666668)</f>
        <v>0.9776990417</v>
      </c>
      <c r="C64" s="21">
        <f>IFERROR(__xludf.DUMMYFUNCTION("""COMPUTED_VALUE"""),0.7185)</f>
        <v>0.7185</v>
      </c>
      <c r="D64" s="21">
        <f>IFERROR(__xludf.DUMMYFUNCTION("""COMPUTED_VALUE"""),2.1615)</f>
        <v>2.1615</v>
      </c>
      <c r="E64" s="20">
        <f>IFERROR(__xludf.DUMMYFUNCTION("""COMPUTED_VALUE"""),1.9518619)</f>
        <v>1.9518619</v>
      </c>
      <c r="F64" s="20">
        <f>IFERROR(__xludf.DUMMYFUNCTION("""COMPUTED_VALUE"""),1.2920357)</f>
        <v>1.2920357</v>
      </c>
      <c r="G64" s="20">
        <f>IFERROR(__xludf.DUMMYFUNCTION("""COMPUTED_VALUE"""),0.879436)</f>
        <v>0.879436</v>
      </c>
      <c r="H64" s="23"/>
      <c r="J64" s="22"/>
    </row>
    <row r="65">
      <c r="A65" s="19">
        <f>IFERROR(__xludf.DUMMYFUNCTION("""COMPUTED_VALUE"""),44625.0)</f>
        <v>44625</v>
      </c>
      <c r="B65" s="20">
        <f>IFERROR(__xludf.DUMMYFUNCTION("""COMPUTED_VALUE"""),0.9776990416666668)</f>
        <v>0.9776990417</v>
      </c>
      <c r="C65" s="21">
        <f>IFERROR(__xludf.DUMMYFUNCTION("""COMPUTED_VALUE"""),0.7185)</f>
        <v>0.7185</v>
      </c>
      <c r="D65" s="21">
        <f>IFERROR(__xludf.DUMMYFUNCTION("""COMPUTED_VALUE"""),2.1615)</f>
        <v>2.1615</v>
      </c>
      <c r="E65" s="20">
        <f>IFERROR(__xludf.DUMMYFUNCTION("""COMPUTED_VALUE"""),2.0394628)</f>
        <v>2.0394628</v>
      </c>
      <c r="F65" s="20">
        <f>IFERROR(__xludf.DUMMYFUNCTION("""COMPUTED_VALUE"""),1.3904103535714285)</f>
        <v>1.390410354</v>
      </c>
      <c r="G65" s="20">
        <f>IFERROR(__xludf.DUMMYFUNCTION("""COMPUTED_VALUE"""),0.879436)</f>
        <v>0.879436</v>
      </c>
      <c r="H65" s="23"/>
      <c r="J65" s="22"/>
    </row>
    <row r="66">
      <c r="A66" s="19">
        <f>IFERROR(__xludf.DUMMYFUNCTION("""COMPUTED_VALUE"""),44626.0)</f>
        <v>44626</v>
      </c>
      <c r="B66" s="20">
        <f>IFERROR(__xludf.DUMMYFUNCTION("""COMPUTED_VALUE"""),0.9776990416666668)</f>
        <v>0.9776990417</v>
      </c>
      <c r="C66" s="21">
        <f>IFERROR(__xludf.DUMMYFUNCTION("""COMPUTED_VALUE"""),0.7185)</f>
        <v>0.7185</v>
      </c>
      <c r="D66" s="21">
        <f>IFERROR(__xludf.DUMMYFUNCTION("""COMPUTED_VALUE"""),2.1615)</f>
        <v>2.1615</v>
      </c>
      <c r="E66" s="20">
        <f>IFERROR(__xludf.DUMMYFUNCTION("""COMPUTED_VALUE"""),2.0272006)</f>
        <v>2.0272006</v>
      </c>
      <c r="F66" s="20">
        <f>IFERROR(__xludf.DUMMYFUNCTION("""COMPUTED_VALUE"""),1.488785007142857)</f>
        <v>1.488785007</v>
      </c>
      <c r="G66" s="20">
        <f>IFERROR(__xludf.DUMMYFUNCTION("""COMPUTED_VALUE"""),0.879436)</f>
        <v>0.879436</v>
      </c>
      <c r="H66" s="23"/>
      <c r="J66" s="22"/>
    </row>
    <row r="67">
      <c r="A67" s="19">
        <f>IFERROR(__xludf.DUMMYFUNCTION("""COMPUTED_VALUE"""),44627.0)</f>
        <v>44627</v>
      </c>
      <c r="B67" s="20">
        <f>IFERROR(__xludf.DUMMYFUNCTION("""COMPUTED_VALUE"""),0.9951851578947369)</f>
        <v>0.9951851579</v>
      </c>
      <c r="C67" s="21">
        <f>IFERROR(__xludf.DUMMYFUNCTION("""COMPUTED_VALUE"""),0.72)</f>
        <v>0.72</v>
      </c>
      <c r="D67" s="21">
        <f>IFERROR(__xludf.DUMMYFUNCTION("""COMPUTED_VALUE"""),1.838)</f>
        <v>1.838</v>
      </c>
      <c r="E67" s="20">
        <f>IFERROR(__xludf.DUMMYFUNCTION("""COMPUTED_VALUE"""),2.6247849)</f>
        <v>2.6247849</v>
      </c>
      <c r="F67" s="20">
        <f>IFERROR(__xludf.DUMMYFUNCTION("""COMPUTED_VALUE"""),1.6126734285714284)</f>
        <v>1.612673429</v>
      </c>
      <c r="G67" s="20">
        <f>IFERROR(__xludf.DUMMYFUNCTION("""COMPUTED_VALUE"""),0.879436)</f>
        <v>0.879436</v>
      </c>
      <c r="H67" s="23"/>
      <c r="J67" s="22"/>
    </row>
    <row r="68">
      <c r="A68" s="19">
        <f>IFERROR(__xludf.DUMMYFUNCTION("""COMPUTED_VALUE"""),44628.0)</f>
        <v>44628</v>
      </c>
      <c r="B68" s="20">
        <f>IFERROR(__xludf.DUMMYFUNCTION("""COMPUTED_VALUE"""),0.9951851578947369)</f>
        <v>0.9951851579</v>
      </c>
      <c r="C68" s="21">
        <f>IFERROR(__xludf.DUMMYFUNCTION("""COMPUTED_VALUE"""),0.72)</f>
        <v>0.72</v>
      </c>
      <c r="D68" s="21">
        <f>IFERROR(__xludf.DUMMYFUNCTION("""COMPUTED_VALUE"""),1.838)</f>
        <v>1.838</v>
      </c>
      <c r="E68" s="20">
        <f>IFERROR(__xludf.DUMMYFUNCTION("""COMPUTED_VALUE"""),2.3468096)</f>
        <v>2.3468096</v>
      </c>
      <c r="F68" s="20">
        <f>IFERROR(__xludf.DUMMYFUNCTION("""COMPUTED_VALUE"""),1.6931366642857142)</f>
        <v>1.693136664</v>
      </c>
      <c r="G68" s="20">
        <f>IFERROR(__xludf.DUMMYFUNCTION("""COMPUTED_VALUE"""),0.879436)</f>
        <v>0.879436</v>
      </c>
      <c r="H68" s="23"/>
      <c r="J68" s="22"/>
    </row>
    <row r="69">
      <c r="A69" s="19">
        <f>IFERROR(__xludf.DUMMYFUNCTION("""COMPUTED_VALUE"""),44629.0)</f>
        <v>44629</v>
      </c>
      <c r="B69" s="20">
        <f>IFERROR(__xludf.DUMMYFUNCTION("""COMPUTED_VALUE"""),0.9951851578947369)</f>
        <v>0.9951851579</v>
      </c>
      <c r="C69" s="21">
        <f>IFERROR(__xludf.DUMMYFUNCTION("""COMPUTED_VALUE"""),0.72)</f>
        <v>0.72</v>
      </c>
      <c r="D69" s="21">
        <f>IFERROR(__xludf.DUMMYFUNCTION("""COMPUTED_VALUE"""),1.838)</f>
        <v>1.838</v>
      </c>
      <c r="E69" s="20">
        <f>IFERROR(__xludf.DUMMYFUNCTION("""COMPUTED_VALUE"""),1.8281913)</f>
        <v>1.8281913</v>
      </c>
      <c r="F69" s="20">
        <f>IFERROR(__xludf.DUMMYFUNCTION("""COMPUTED_VALUE"""),1.6613248000000003)</f>
        <v>1.6613248</v>
      </c>
      <c r="G69" s="20">
        <f>IFERROR(__xludf.DUMMYFUNCTION("""COMPUTED_VALUE"""),0.879436)</f>
        <v>0.879436</v>
      </c>
      <c r="H69" s="23"/>
      <c r="J69" s="22"/>
    </row>
    <row r="70">
      <c r="A70" s="19">
        <f>IFERROR(__xludf.DUMMYFUNCTION("""COMPUTED_VALUE"""),44630.0)</f>
        <v>44630</v>
      </c>
      <c r="B70" s="20">
        <f>IFERROR(__xludf.DUMMYFUNCTION("""COMPUTED_VALUE"""),0.9951851578947369)</f>
        <v>0.9951851579</v>
      </c>
      <c r="C70" s="21">
        <f>IFERROR(__xludf.DUMMYFUNCTION("""COMPUTED_VALUE"""),0.72)</f>
        <v>0.72</v>
      </c>
      <c r="D70" s="21">
        <f>IFERROR(__xludf.DUMMYFUNCTION("""COMPUTED_VALUE"""),1.838)</f>
        <v>1.838</v>
      </c>
      <c r="E70" s="20">
        <f>IFERROR(__xludf.DUMMYFUNCTION("""COMPUTED_VALUE"""),1.497358)</f>
        <v>1.497358</v>
      </c>
      <c r="F70" s="20">
        <f>IFERROR(__xludf.DUMMYFUNCTION("""COMPUTED_VALUE"""),1.6034565250000001)</f>
        <v>1.603456525</v>
      </c>
      <c r="G70" s="20">
        <f>IFERROR(__xludf.DUMMYFUNCTION("""COMPUTED_VALUE"""),0.879436)</f>
        <v>0.879436</v>
      </c>
      <c r="H70" s="23"/>
      <c r="J70" s="22"/>
    </row>
    <row r="71">
      <c r="A71" s="19">
        <f>IFERROR(__xludf.DUMMYFUNCTION("""COMPUTED_VALUE"""),44631.0)</f>
        <v>44631</v>
      </c>
      <c r="B71" s="20">
        <f>IFERROR(__xludf.DUMMYFUNCTION("""COMPUTED_VALUE"""),0.9951851578947369)</f>
        <v>0.9951851579</v>
      </c>
      <c r="C71" s="21">
        <f>IFERROR(__xludf.DUMMYFUNCTION("""COMPUTED_VALUE"""),0.72)</f>
        <v>0.72</v>
      </c>
      <c r="D71" s="21">
        <f>IFERROR(__xludf.DUMMYFUNCTION("""COMPUTED_VALUE"""),1.838)</f>
        <v>1.838</v>
      </c>
      <c r="E71" s="20">
        <f>IFERROR(__xludf.DUMMYFUNCTION("""COMPUTED_VALUE"""),1.3116059999999998)</f>
        <v>1.311606</v>
      </c>
      <c r="F71" s="20">
        <f>IFERROR(__xludf.DUMMYFUNCTION("""COMPUTED_VALUE"""),1.548881175)</f>
        <v>1.548881175</v>
      </c>
      <c r="G71" s="20">
        <f>IFERROR(__xludf.DUMMYFUNCTION("""COMPUTED_VALUE"""),0.879436)</f>
        <v>0.879436</v>
      </c>
      <c r="H71" s="23"/>
      <c r="J71" s="22"/>
    </row>
    <row r="72">
      <c r="A72" s="19">
        <f>IFERROR(__xludf.DUMMYFUNCTION("""COMPUTED_VALUE"""),44632.0)</f>
        <v>44632</v>
      </c>
      <c r="B72" s="20">
        <f>IFERROR(__xludf.DUMMYFUNCTION("""COMPUTED_VALUE"""),0.9951851578947369)</f>
        <v>0.9951851579</v>
      </c>
      <c r="C72" s="21">
        <f>IFERROR(__xludf.DUMMYFUNCTION("""COMPUTED_VALUE"""),0.72)</f>
        <v>0.72</v>
      </c>
      <c r="D72" s="21">
        <f>IFERROR(__xludf.DUMMYFUNCTION("""COMPUTED_VALUE"""),1.838)</f>
        <v>1.838</v>
      </c>
      <c r="E72" s="20">
        <f>IFERROR(__xludf.DUMMYFUNCTION("""COMPUTED_VALUE"""),1.194976)</f>
        <v>1.194976</v>
      </c>
      <c r="F72" s="20">
        <f>IFERROR(__xludf.DUMMYFUNCTION("""COMPUTED_VALUE"""),1.494305825)</f>
        <v>1.494305825</v>
      </c>
      <c r="G72" s="20">
        <f>IFERROR(__xludf.DUMMYFUNCTION("""COMPUTED_VALUE"""),0.879436)</f>
        <v>0.879436</v>
      </c>
      <c r="H72" s="23"/>
      <c r="J72" s="22"/>
    </row>
    <row r="73">
      <c r="A73" s="19">
        <f>IFERROR(__xludf.DUMMYFUNCTION("""COMPUTED_VALUE"""),44633.0)</f>
        <v>44633</v>
      </c>
      <c r="B73" s="20">
        <f>IFERROR(__xludf.DUMMYFUNCTION("""COMPUTED_VALUE"""),0.9951851578947369)</f>
        <v>0.9951851579</v>
      </c>
      <c r="C73" s="21">
        <f>IFERROR(__xludf.DUMMYFUNCTION("""COMPUTED_VALUE"""),0.72)</f>
        <v>0.72</v>
      </c>
      <c r="D73" s="21">
        <f>IFERROR(__xludf.DUMMYFUNCTION("""COMPUTED_VALUE"""),1.838)</f>
        <v>1.838</v>
      </c>
      <c r="E73" s="20">
        <f>IFERROR(__xludf.DUMMYFUNCTION("""COMPUTED_VALUE"""),1.1994699999999998)</f>
        <v>1.19947</v>
      </c>
      <c r="F73" s="20">
        <f>IFERROR(__xludf.DUMMYFUNCTION("""COMPUTED_VALUE"""),1.4397304750000004)</f>
        <v>1.439730475</v>
      </c>
      <c r="G73" s="20">
        <f>IFERROR(__xludf.DUMMYFUNCTION("""COMPUTED_VALUE"""),0.879436)</f>
        <v>0.879436</v>
      </c>
      <c r="H73" s="23"/>
      <c r="J73" s="22"/>
    </row>
    <row r="74">
      <c r="A74" s="19">
        <f>IFERROR(__xludf.DUMMYFUNCTION("""COMPUTED_VALUE"""),44634.0)</f>
        <v>44634</v>
      </c>
      <c r="B74" s="20">
        <f>IFERROR(__xludf.DUMMYFUNCTION("""COMPUTED_VALUE"""),1.0141167692307695)</f>
        <v>1.014116769</v>
      </c>
      <c r="C74" s="21">
        <f>IFERROR(__xludf.DUMMYFUNCTION("""COMPUTED_VALUE"""),0.785)</f>
        <v>0.785</v>
      </c>
      <c r="D74" s="21">
        <f>IFERROR(__xludf.DUMMYFUNCTION("""COMPUTED_VALUE"""),1.8256295)</f>
        <v>1.8256295</v>
      </c>
      <c r="E74" s="20">
        <f>IFERROR(__xludf.DUMMYFUNCTION("""COMPUTED_VALUE"""),1.2381932999999998)</f>
        <v>1.2381933</v>
      </c>
      <c r="F74" s="20">
        <f>IFERROR(__xludf.DUMMYFUNCTION("""COMPUTED_VALUE"""),1.329172725)</f>
        <v>1.329172725</v>
      </c>
      <c r="G74" s="20">
        <f>IFERROR(__xludf.DUMMYFUNCTION("""COMPUTED_VALUE"""),0.879436)</f>
        <v>0.879436</v>
      </c>
      <c r="H74" s="23"/>
      <c r="J74" s="22"/>
    </row>
    <row r="75">
      <c r="A75" s="19">
        <f>IFERROR(__xludf.DUMMYFUNCTION("""COMPUTED_VALUE"""),44635.0)</f>
        <v>44635</v>
      </c>
      <c r="B75" s="20">
        <f>IFERROR(__xludf.DUMMYFUNCTION("""COMPUTED_VALUE"""),1.0141167692307695)</f>
        <v>1.014116769</v>
      </c>
      <c r="C75" s="21">
        <f>IFERROR(__xludf.DUMMYFUNCTION("""COMPUTED_VALUE"""),0.785)</f>
        <v>0.785</v>
      </c>
      <c r="D75" s="21">
        <f>IFERROR(__xludf.DUMMYFUNCTION("""COMPUTED_VALUE"""),1.8256295)</f>
        <v>1.8256295</v>
      </c>
      <c r="E75" s="20">
        <f>IFERROR(__xludf.DUMMYFUNCTION("""COMPUTED_VALUE"""),1.251686)</f>
        <v>1.251686</v>
      </c>
      <c r="F75" s="20">
        <f>IFERROR(__xludf.DUMMYFUNCTION("""COMPUTED_VALUE"""),1.229671132142857)</f>
        <v>1.229671132</v>
      </c>
      <c r="G75" s="20">
        <f>IFERROR(__xludf.DUMMYFUNCTION("""COMPUTED_VALUE"""),0.879436)</f>
        <v>0.879436</v>
      </c>
      <c r="H75" s="23"/>
      <c r="J75" s="22"/>
    </row>
    <row r="76">
      <c r="A76" s="19">
        <f>IFERROR(__xludf.DUMMYFUNCTION("""COMPUTED_VALUE"""),44636.0)</f>
        <v>44636</v>
      </c>
      <c r="B76" s="20">
        <f>IFERROR(__xludf.DUMMYFUNCTION("""COMPUTED_VALUE"""),1.0141167692307695)</f>
        <v>1.014116769</v>
      </c>
      <c r="C76" s="21">
        <f>IFERROR(__xludf.DUMMYFUNCTION("""COMPUTED_VALUE"""),0.785)</f>
        <v>0.785</v>
      </c>
      <c r="D76" s="21">
        <f>IFERROR(__xludf.DUMMYFUNCTION("""COMPUTED_VALUE"""),1.8256295)</f>
        <v>1.8256295</v>
      </c>
      <c r="E76" s="20">
        <f>IFERROR(__xludf.DUMMYFUNCTION("""COMPUTED_VALUE"""),1.1588956)</f>
        <v>1.1588956</v>
      </c>
      <c r="F76" s="20">
        <f>IFERROR(__xludf.DUMMYFUNCTION("""COMPUTED_VALUE"""),1.1847475642857144)</f>
        <v>1.184747564</v>
      </c>
      <c r="G76" s="20">
        <f>IFERROR(__xludf.DUMMYFUNCTION("""COMPUTED_VALUE"""),0.879436)</f>
        <v>0.879436</v>
      </c>
      <c r="H76" s="23"/>
      <c r="J76" s="22"/>
    </row>
    <row r="77">
      <c r="A77" s="19">
        <f>IFERROR(__xludf.DUMMYFUNCTION("""COMPUTED_VALUE"""),44637.0)</f>
        <v>44637</v>
      </c>
      <c r="B77" s="20">
        <f>IFERROR(__xludf.DUMMYFUNCTION("""COMPUTED_VALUE"""),1.0141167692307695)</f>
        <v>1.014116769</v>
      </c>
      <c r="C77" s="21">
        <f>IFERROR(__xludf.DUMMYFUNCTION("""COMPUTED_VALUE"""),0.785)</f>
        <v>0.785</v>
      </c>
      <c r="D77" s="21">
        <f>IFERROR(__xludf.DUMMYFUNCTION("""COMPUTED_VALUE"""),1.8256295)</f>
        <v>1.8256295</v>
      </c>
      <c r="E77" s="20">
        <f>IFERROR(__xludf.DUMMYFUNCTION("""COMPUTED_VALUE"""),1.1320706999999999)</f>
        <v>1.1320707</v>
      </c>
      <c r="F77" s="20">
        <f>IFERROR(__xludf.DUMMYFUNCTION("""COMPUTED_VALUE"""),1.168737307142857)</f>
        <v>1.168737307</v>
      </c>
      <c r="G77" s="20">
        <f>IFERROR(__xludf.DUMMYFUNCTION("""COMPUTED_VALUE"""),0.879436)</f>
        <v>0.879436</v>
      </c>
      <c r="H77" s="23"/>
      <c r="J77" s="22"/>
    </row>
    <row r="78">
      <c r="A78" s="19">
        <f>IFERROR(__xludf.DUMMYFUNCTION("""COMPUTED_VALUE"""),44638.0)</f>
        <v>44638</v>
      </c>
      <c r="B78" s="20">
        <f>IFERROR(__xludf.DUMMYFUNCTION("""COMPUTED_VALUE"""),1.0141167692307695)</f>
        <v>1.014116769</v>
      </c>
      <c r="C78" s="21">
        <f>IFERROR(__xludf.DUMMYFUNCTION("""COMPUTED_VALUE"""),0.785)</f>
        <v>0.785</v>
      </c>
      <c r="D78" s="21">
        <f>IFERROR(__xludf.DUMMYFUNCTION("""COMPUTED_VALUE"""),1.8256295)</f>
        <v>1.8256295</v>
      </c>
      <c r="E78" s="20">
        <f>IFERROR(__xludf.DUMMYFUNCTION("""COMPUTED_VALUE"""),1.0897736)</f>
        <v>1.0897736</v>
      </c>
      <c r="F78" s="20">
        <f>IFERROR(__xludf.DUMMYFUNCTION("""COMPUTED_VALUE"""),1.1371191892857144)</f>
        <v>1.137119189</v>
      </c>
      <c r="G78" s="20">
        <f>IFERROR(__xludf.DUMMYFUNCTION("""COMPUTED_VALUE"""),0.879436)</f>
        <v>0.879436</v>
      </c>
      <c r="H78" s="23"/>
      <c r="J78" s="22"/>
    </row>
    <row r="79">
      <c r="A79" s="19">
        <f>IFERROR(__xludf.DUMMYFUNCTION("""COMPUTED_VALUE"""),44639.0)</f>
        <v>44639</v>
      </c>
      <c r="B79" s="20">
        <f>IFERROR(__xludf.DUMMYFUNCTION("""COMPUTED_VALUE"""),1.0141167692307695)</f>
        <v>1.014116769</v>
      </c>
      <c r="C79" s="21">
        <f>IFERROR(__xludf.DUMMYFUNCTION("""COMPUTED_VALUE"""),0.785)</f>
        <v>0.785</v>
      </c>
      <c r="D79" s="21">
        <f>IFERROR(__xludf.DUMMYFUNCTION("""COMPUTED_VALUE"""),1.8256295)</f>
        <v>1.8256295</v>
      </c>
      <c r="E79" s="20">
        <f>IFERROR(__xludf.DUMMYFUNCTION("""COMPUTED_VALUE"""),0.979692)</f>
        <v>0.979692</v>
      </c>
      <c r="F79" s="20">
        <f>IFERROR(__xludf.DUMMYFUNCTION("""COMPUTED_VALUE"""),1.1055010714285716)</f>
        <v>1.105501071</v>
      </c>
      <c r="G79" s="20">
        <f>IFERROR(__xludf.DUMMYFUNCTION("""COMPUTED_VALUE"""),0.879436)</f>
        <v>0.879436</v>
      </c>
      <c r="H79" s="23"/>
      <c r="J79" s="22"/>
    </row>
    <row r="80">
      <c r="A80" s="19">
        <f>IFERROR(__xludf.DUMMYFUNCTION("""COMPUTED_VALUE"""),44640.0)</f>
        <v>44640</v>
      </c>
      <c r="B80" s="20">
        <f>IFERROR(__xludf.DUMMYFUNCTION("""COMPUTED_VALUE"""),1.0141167692307695)</f>
        <v>1.014116769</v>
      </c>
      <c r="C80" s="21">
        <f>IFERROR(__xludf.DUMMYFUNCTION("""COMPUTED_VALUE"""),0.785)</f>
        <v>0.785</v>
      </c>
      <c r="D80" s="21">
        <f>IFERROR(__xludf.DUMMYFUNCTION("""COMPUTED_VALUE"""),1.8256295)</f>
        <v>1.8256295</v>
      </c>
      <c r="E80" s="20">
        <f>IFERROR(__xludf.DUMMYFUNCTION("""COMPUTED_VALUE"""),1.0481398999999998)</f>
        <v>1.0481399</v>
      </c>
      <c r="F80" s="20">
        <f>IFERROR(__xludf.DUMMYFUNCTION("""COMPUTED_VALUE"""),1.0738829535714287)</f>
        <v>1.073882954</v>
      </c>
      <c r="G80" s="20">
        <f>IFERROR(__xludf.DUMMYFUNCTION("""COMPUTED_VALUE"""),0.879436)</f>
        <v>0.879436</v>
      </c>
      <c r="H80" s="23"/>
      <c r="J80" s="22"/>
    </row>
    <row r="81">
      <c r="A81" s="19">
        <f>IFERROR(__xludf.DUMMYFUNCTION("""COMPUTED_VALUE"""),44641.0)</f>
        <v>44641</v>
      </c>
      <c r="B81" s="20">
        <f>IFERROR(__xludf.DUMMYFUNCTION("""COMPUTED_VALUE"""),1.0882518)</f>
        <v>1.0882518</v>
      </c>
      <c r="C81" s="21">
        <f>IFERROR(__xludf.DUMMYFUNCTION("""COMPUTED_VALUE"""),0.815)</f>
        <v>0.815</v>
      </c>
      <c r="D81" s="21">
        <f>IFERROR(__xludf.DUMMYFUNCTION("""COMPUTED_VALUE"""),1.8256295)</f>
        <v>1.8256295</v>
      </c>
      <c r="E81" s="20">
        <f>IFERROR(__xludf.DUMMYFUNCTION("""COMPUTED_VALUE"""),1.0362522)</f>
        <v>1.0362522</v>
      </c>
      <c r="F81" s="20">
        <f>IFERROR(__xludf.DUMMYFUNCTION("""COMPUTED_VALUE"""),1.0569479107142858)</f>
        <v>1.056947911</v>
      </c>
      <c r="G81" s="20">
        <f>IFERROR(__xludf.DUMMYFUNCTION("""COMPUTED_VALUE"""),0.879436)</f>
        <v>0.879436</v>
      </c>
      <c r="H81" s="23"/>
      <c r="J81" s="22"/>
    </row>
    <row r="82">
      <c r="A82" s="19">
        <f>IFERROR(__xludf.DUMMYFUNCTION("""COMPUTED_VALUE"""),44642.0)</f>
        <v>44642</v>
      </c>
      <c r="B82" s="20">
        <f>IFERROR(__xludf.DUMMYFUNCTION("""COMPUTED_VALUE"""),1.0882518)</f>
        <v>1.0882518</v>
      </c>
      <c r="C82" s="21">
        <f>IFERROR(__xludf.DUMMYFUNCTION("""COMPUTED_VALUE"""),0.815)</f>
        <v>0.815</v>
      </c>
      <c r="D82" s="21">
        <f>IFERROR(__xludf.DUMMYFUNCTION("""COMPUTED_VALUE"""),1.8256295)</f>
        <v>1.8256295</v>
      </c>
      <c r="E82" s="20">
        <f>IFERROR(__xludf.DUMMYFUNCTION("""COMPUTED_VALUE"""),1.0192499)</f>
        <v>1.0192499</v>
      </c>
      <c r="F82" s="20">
        <f>IFERROR(__xludf.DUMMYFUNCTION("""COMPUTED_VALUE"""),1.0432412107142857)</f>
        <v>1.043241211</v>
      </c>
      <c r="G82" s="20">
        <f>IFERROR(__xludf.DUMMYFUNCTION("""COMPUTED_VALUE"""),0.879436)</f>
        <v>0.879436</v>
      </c>
      <c r="H82" s="23"/>
      <c r="J82" s="22"/>
    </row>
    <row r="83">
      <c r="A83" s="19">
        <f>IFERROR(__xludf.DUMMYFUNCTION("""COMPUTED_VALUE"""),44643.0)</f>
        <v>44643</v>
      </c>
      <c r="B83" s="20">
        <f>IFERROR(__xludf.DUMMYFUNCTION("""COMPUTED_VALUE"""),1.0882518)</f>
        <v>1.0882518</v>
      </c>
      <c r="C83" s="21">
        <f>IFERROR(__xludf.DUMMYFUNCTION("""COMPUTED_VALUE"""),0.815)</f>
        <v>0.815</v>
      </c>
      <c r="D83" s="21">
        <f>IFERROR(__xludf.DUMMYFUNCTION("""COMPUTED_VALUE"""),1.8256295)</f>
        <v>1.8256295</v>
      </c>
      <c r="E83" s="20">
        <f>IFERROR(__xludf.DUMMYFUNCTION("""COMPUTED_VALUE"""),1.1625014999999999)</f>
        <v>1.1625015</v>
      </c>
      <c r="F83" s="20">
        <f>IFERROR(__xludf.DUMMYFUNCTION("""COMPUTED_VALUE"""),1.0556788142857143)</f>
        <v>1.055678814</v>
      </c>
      <c r="G83" s="20">
        <f>IFERROR(__xludf.DUMMYFUNCTION("""COMPUTED_VALUE"""),0.879436)</f>
        <v>0.879436</v>
      </c>
      <c r="H83" s="23"/>
      <c r="J83" s="22"/>
    </row>
    <row r="84">
      <c r="A84" s="19">
        <f>IFERROR(__xludf.DUMMYFUNCTION("""COMPUTED_VALUE"""),44644.0)</f>
        <v>44644</v>
      </c>
      <c r="B84" s="20">
        <f>IFERROR(__xludf.DUMMYFUNCTION("""COMPUTED_VALUE"""),1.0882518)</f>
        <v>1.0882518</v>
      </c>
      <c r="C84" s="21">
        <f>IFERROR(__xludf.DUMMYFUNCTION("""COMPUTED_VALUE"""),0.815)</f>
        <v>0.815</v>
      </c>
      <c r="D84" s="21">
        <f>IFERROR(__xludf.DUMMYFUNCTION("""COMPUTED_VALUE"""),1.8256295)</f>
        <v>1.8256295</v>
      </c>
      <c r="E84" s="20">
        <f>IFERROR(__xludf.DUMMYFUNCTION("""COMPUTED_VALUE"""),1.2430618)</f>
        <v>1.2430618</v>
      </c>
      <c r="F84" s="20">
        <f>IFERROR(__xludf.DUMMYFUNCTION("""COMPUTED_VALUE"""),1.068518814285714)</f>
        <v>1.068518814</v>
      </c>
      <c r="G84" s="20">
        <f>IFERROR(__xludf.DUMMYFUNCTION("""COMPUTED_VALUE"""),0.879436)</f>
        <v>0.879436</v>
      </c>
      <c r="H84" s="23"/>
      <c r="J84" s="22"/>
    </row>
    <row r="85">
      <c r="A85" s="19">
        <f>IFERROR(__xludf.DUMMYFUNCTION("""COMPUTED_VALUE"""),44645.0)</f>
        <v>44645</v>
      </c>
      <c r="B85" s="20">
        <f>IFERROR(__xludf.DUMMYFUNCTION("""COMPUTED_VALUE"""),1.0882518)</f>
        <v>1.0882518</v>
      </c>
      <c r="C85" s="21">
        <f>IFERROR(__xludf.DUMMYFUNCTION("""COMPUTED_VALUE"""),0.815)</f>
        <v>0.815</v>
      </c>
      <c r="D85" s="21">
        <f>IFERROR(__xludf.DUMMYFUNCTION("""COMPUTED_VALUE"""),1.8256295)</f>
        <v>1.8256295</v>
      </c>
      <c r="E85" s="20">
        <f>IFERROR(__xludf.DUMMYFUNCTION("""COMPUTED_VALUE"""),1.0803361999999999)</f>
        <v>1.0803362</v>
      </c>
      <c r="F85" s="20">
        <f>IFERROR(__xludf.DUMMYFUNCTION("""COMPUTED_VALUE"""),1.0684335964285714)</f>
        <v>1.068433596</v>
      </c>
      <c r="G85" s="20">
        <f>IFERROR(__xludf.DUMMYFUNCTION("""COMPUTED_VALUE"""),0.879436)</f>
        <v>0.879436</v>
      </c>
      <c r="H85" s="23"/>
      <c r="J85" s="22"/>
    </row>
    <row r="86">
      <c r="A86" s="19">
        <f>IFERROR(__xludf.DUMMYFUNCTION("""COMPUTED_VALUE"""),44646.0)</f>
        <v>44646</v>
      </c>
      <c r="B86" s="20">
        <f>IFERROR(__xludf.DUMMYFUNCTION("""COMPUTED_VALUE"""),1.0882518)</f>
        <v>1.0882518</v>
      </c>
      <c r="C86" s="21">
        <f>IFERROR(__xludf.DUMMYFUNCTION("""COMPUTED_VALUE"""),0.815)</f>
        <v>0.815</v>
      </c>
      <c r="D86" s="21">
        <f>IFERROR(__xludf.DUMMYFUNCTION("""COMPUTED_VALUE"""),1.8256295)</f>
        <v>1.8256295</v>
      </c>
      <c r="E86" s="20">
        <f>IFERROR(__xludf.DUMMYFUNCTION("""COMPUTED_VALUE"""),0.9677400999999999)</f>
        <v>0.9677401</v>
      </c>
      <c r="F86" s="20">
        <f>IFERROR(__xludf.DUMMYFUNCTION("""COMPUTED_VALUE"""),1.0683483785714285)</f>
        <v>1.068348379</v>
      </c>
      <c r="G86" s="20">
        <f>IFERROR(__xludf.DUMMYFUNCTION("""COMPUTED_VALUE"""),0.879436)</f>
        <v>0.879436</v>
      </c>
      <c r="H86" s="23"/>
      <c r="J86" s="22"/>
    </row>
    <row r="87">
      <c r="A87" s="19">
        <f>IFERROR(__xludf.DUMMYFUNCTION("""COMPUTED_VALUE"""),44647.0)</f>
        <v>44647</v>
      </c>
      <c r="B87" s="20">
        <f>IFERROR(__xludf.DUMMYFUNCTION("""COMPUTED_VALUE"""),1.0882518)</f>
        <v>1.0882518</v>
      </c>
      <c r="C87" s="21">
        <f>IFERROR(__xludf.DUMMYFUNCTION("""COMPUTED_VALUE"""),0.815)</f>
        <v>0.815</v>
      </c>
      <c r="D87" s="21">
        <f>IFERROR(__xludf.DUMMYFUNCTION("""COMPUTED_VALUE"""),1.8256295)</f>
        <v>1.8256295</v>
      </c>
      <c r="E87" s="20">
        <f>IFERROR(__xludf.DUMMYFUNCTION("""COMPUTED_VALUE"""),0.9640699999999999)</f>
        <v>0.96407</v>
      </c>
      <c r="F87" s="20">
        <f>IFERROR(__xludf.DUMMYFUNCTION("""COMPUTED_VALUE"""),1.0682631607142856)</f>
        <v>1.068263161</v>
      </c>
      <c r="G87" s="20">
        <f>IFERROR(__xludf.DUMMYFUNCTION("""COMPUTED_VALUE"""),0.879436)</f>
        <v>0.879436</v>
      </c>
      <c r="H87" s="23"/>
      <c r="J87" s="22"/>
    </row>
    <row r="88">
      <c r="A88" s="19">
        <f>IFERROR(__xludf.DUMMYFUNCTION("""COMPUTED_VALUE"""),44648.0)</f>
        <v>44648</v>
      </c>
      <c r="B88" s="20">
        <f>IFERROR(__xludf.DUMMYFUNCTION("""COMPUTED_VALUE"""),1.1760282)</f>
        <v>1.1760282</v>
      </c>
      <c r="C88" s="21">
        <f>IFERROR(__xludf.DUMMYFUNCTION("""COMPUTED_VALUE"""),0.8734999999999999)</f>
        <v>0.8735</v>
      </c>
      <c r="D88" s="21">
        <f>IFERROR(__xludf.DUMMYFUNCTION("""COMPUTED_VALUE"""),1.910641)</f>
        <v>1.910641</v>
      </c>
      <c r="E88" s="20">
        <f>IFERROR(__xludf.DUMMYFUNCTION("""COMPUTED_VALUE"""),1.0808712)</f>
        <v>1.0808712</v>
      </c>
      <c r="F88" s="20">
        <f>IFERROR(__xludf.DUMMYFUNCTION("""COMPUTED_VALUE"""),1.078905457142857)</f>
        <v>1.078905457</v>
      </c>
      <c r="G88" s="20">
        <f>IFERROR(__xludf.DUMMYFUNCTION("""COMPUTED_VALUE"""),0.879436)</f>
        <v>0.879436</v>
      </c>
      <c r="H88" s="23"/>
      <c r="J88" s="22"/>
    </row>
    <row r="89">
      <c r="A89" s="19">
        <f>IFERROR(__xludf.DUMMYFUNCTION("""COMPUTED_VALUE"""),44649.0)</f>
        <v>44649</v>
      </c>
      <c r="B89" s="20">
        <f>IFERROR(__xludf.DUMMYFUNCTION("""COMPUTED_VALUE"""),1.1760282)</f>
        <v>1.1760282</v>
      </c>
      <c r="C89" s="21">
        <f>IFERROR(__xludf.DUMMYFUNCTION("""COMPUTED_VALUE"""),0.8734999999999999)</f>
        <v>0.8735</v>
      </c>
      <c r="D89" s="21">
        <f>IFERROR(__xludf.DUMMYFUNCTION("""COMPUTED_VALUE"""),1.910641)</f>
        <v>1.910641</v>
      </c>
      <c r="E89" s="20">
        <f>IFERROR(__xludf.DUMMYFUNCTION("""COMPUTED_VALUE"""),1.1814512)</f>
        <v>1.1814512</v>
      </c>
      <c r="F89" s="20">
        <f>IFERROR(__xludf.DUMMYFUNCTION("""COMPUTED_VALUE"""),1.0945939500000001)</f>
        <v>1.09459395</v>
      </c>
      <c r="G89" s="20">
        <f>IFERROR(__xludf.DUMMYFUNCTION("""COMPUTED_VALUE"""),0.879436)</f>
        <v>0.879436</v>
      </c>
      <c r="H89" s="23"/>
      <c r="J89" s="22"/>
    </row>
    <row r="90">
      <c r="A90" s="19">
        <f>IFERROR(__xludf.DUMMYFUNCTION("""COMPUTED_VALUE"""),44650.0)</f>
        <v>44650</v>
      </c>
      <c r="B90" s="20">
        <f>IFERROR(__xludf.DUMMYFUNCTION("""COMPUTED_VALUE"""),1.1760282)</f>
        <v>1.1760282</v>
      </c>
      <c r="C90" s="21">
        <f>IFERROR(__xludf.DUMMYFUNCTION("""COMPUTED_VALUE"""),0.8734999999999999)</f>
        <v>0.8735</v>
      </c>
      <c r="D90" s="21">
        <f>IFERROR(__xludf.DUMMYFUNCTION("""COMPUTED_VALUE"""),1.910641)</f>
        <v>1.910641</v>
      </c>
      <c r="E90" s="20">
        <f>IFERROR(__xludf.DUMMYFUNCTION("""COMPUTED_VALUE"""),1.286675)</f>
        <v>1.286675</v>
      </c>
      <c r="F90" s="20">
        <f>IFERROR(__xludf.DUMMYFUNCTION("""COMPUTED_VALUE"""),1.0746288964285715)</f>
        <v>1.074628896</v>
      </c>
      <c r="G90" s="20">
        <f>IFERROR(__xludf.DUMMYFUNCTION("""COMPUTED_VALUE"""),0.879436)</f>
        <v>0.879436</v>
      </c>
      <c r="H90" s="23"/>
      <c r="J90" s="22"/>
    </row>
    <row r="91">
      <c r="A91" s="19">
        <f>IFERROR(__xludf.DUMMYFUNCTION("""COMPUTED_VALUE"""),44651.0)</f>
        <v>44651</v>
      </c>
      <c r="B91" s="20">
        <f>IFERROR(__xludf.DUMMYFUNCTION("""COMPUTED_VALUE"""),1.1760282)</f>
        <v>1.1760282</v>
      </c>
      <c r="C91" s="21">
        <f>IFERROR(__xludf.DUMMYFUNCTION("""COMPUTED_VALUE"""),0.8734999999999999)</f>
        <v>0.8735</v>
      </c>
      <c r="D91" s="21">
        <f>IFERROR(__xludf.DUMMYFUNCTION("""COMPUTED_VALUE"""),1.910641)</f>
        <v>1.910641</v>
      </c>
      <c r="E91" s="20">
        <f>IFERROR(__xludf.DUMMYFUNCTION("""COMPUTED_VALUE"""),1.2859474)</f>
        <v>1.2859474</v>
      </c>
      <c r="F91" s="20">
        <f>IFERROR(__xludf.DUMMYFUNCTION("""COMPUTED_VALUE"""),1.0696212964285714)</f>
        <v>1.069621296</v>
      </c>
      <c r="G91" s="20">
        <f>IFERROR(__xludf.DUMMYFUNCTION("""COMPUTED_VALUE"""),0.879436)</f>
        <v>0.879436</v>
      </c>
      <c r="H91" s="23"/>
      <c r="J91" s="22"/>
    </row>
    <row r="92">
      <c r="A92" s="19">
        <f>IFERROR(__xludf.DUMMYFUNCTION("""COMPUTED_VALUE"""),44652.0)</f>
        <v>44652</v>
      </c>
      <c r="B92" s="20">
        <f>IFERROR(__xludf.DUMMYFUNCTION("""COMPUTED_VALUE"""),1.1760282)</f>
        <v>1.1760282</v>
      </c>
      <c r="C92" s="21">
        <f>IFERROR(__xludf.DUMMYFUNCTION("""COMPUTED_VALUE"""),0.8734999999999999)</f>
        <v>0.8735</v>
      </c>
      <c r="D92" s="21">
        <f>IFERROR(__xludf.DUMMYFUNCTION("""COMPUTED_VALUE"""),1.910641)</f>
        <v>1.910641</v>
      </c>
      <c r="E92" s="20">
        <f>IFERROR(__xludf.DUMMYFUNCTION("""COMPUTED_VALUE"""),1.3012698)</f>
        <v>1.3012698</v>
      </c>
      <c r="F92" s="20">
        <f>IFERROR(__xludf.DUMMYFUNCTION("""COMPUTED_VALUE"""),1.0643993142857142)</f>
        <v>1.064399314</v>
      </c>
      <c r="G92" s="20">
        <f>IFERROR(__xludf.DUMMYFUNCTION("""COMPUTED_VALUE"""),0.85957)</f>
        <v>0.85957</v>
      </c>
      <c r="H92" s="23"/>
      <c r="J92" s="22"/>
    </row>
    <row r="93">
      <c r="A93" s="19">
        <f>IFERROR(__xludf.DUMMYFUNCTION("""COMPUTED_VALUE"""),44653.0)</f>
        <v>44653</v>
      </c>
      <c r="B93" s="20">
        <f>IFERROR(__xludf.DUMMYFUNCTION("""COMPUTED_VALUE"""),1.1760282)</f>
        <v>1.1760282</v>
      </c>
      <c r="C93" s="21">
        <f>IFERROR(__xludf.DUMMYFUNCTION("""COMPUTED_VALUE"""),0.8734999999999999)</f>
        <v>0.8735</v>
      </c>
      <c r="D93" s="21">
        <f>IFERROR(__xludf.DUMMYFUNCTION("""COMPUTED_VALUE"""),1.910641)</f>
        <v>1.910641</v>
      </c>
      <c r="E93" s="20">
        <f>IFERROR(__xludf.DUMMYFUNCTION("""COMPUTED_VALUE"""),1.2773659999999998)</f>
        <v>1.277366</v>
      </c>
      <c r="F93" s="20">
        <f>IFERROR(__xludf.DUMMYFUNCTION("""COMPUTED_VALUE"""),1.0591773321428573)</f>
        <v>1.059177332</v>
      </c>
      <c r="G93" s="20">
        <f>IFERROR(__xludf.DUMMYFUNCTION("""COMPUTED_VALUE"""),0.85957)</f>
        <v>0.85957</v>
      </c>
      <c r="H93" s="23"/>
      <c r="J93" s="22"/>
    </row>
    <row r="94">
      <c r="A94" s="19">
        <f>IFERROR(__xludf.DUMMYFUNCTION("""COMPUTED_VALUE"""),44654.0)</f>
        <v>44654</v>
      </c>
      <c r="B94" s="20">
        <f>IFERROR(__xludf.DUMMYFUNCTION("""COMPUTED_VALUE"""),1.1760282)</f>
        <v>1.1760282</v>
      </c>
      <c r="C94" s="21">
        <f>IFERROR(__xludf.DUMMYFUNCTION("""COMPUTED_VALUE"""),0.8734999999999999)</f>
        <v>0.8735</v>
      </c>
      <c r="D94" s="21">
        <f>IFERROR(__xludf.DUMMYFUNCTION("""COMPUTED_VALUE"""),1.910641)</f>
        <v>1.910641</v>
      </c>
      <c r="E94" s="20">
        <f>IFERROR(__xludf.DUMMYFUNCTION("""COMPUTED_VALUE"""),1.2738564)</f>
        <v>1.2738564</v>
      </c>
      <c r="F94" s="20">
        <f>IFERROR(__xludf.DUMMYFUNCTION("""COMPUTED_VALUE"""),1.0539553500000003)</f>
        <v>1.05395535</v>
      </c>
      <c r="G94" s="20">
        <f>IFERROR(__xludf.DUMMYFUNCTION("""COMPUTED_VALUE"""),0.85957)</f>
        <v>0.85957</v>
      </c>
      <c r="H94" s="23"/>
      <c r="J94" s="22"/>
    </row>
    <row r="95">
      <c r="A95" s="19">
        <f>IFERROR(__xludf.DUMMYFUNCTION("""COMPUTED_VALUE"""),44655.0)</f>
        <v>44655</v>
      </c>
      <c r="B95" s="20">
        <f>IFERROR(__xludf.DUMMYFUNCTION("""COMPUTED_VALUE"""),1.1818438181818183)</f>
        <v>1.181843818</v>
      </c>
      <c r="C95" s="21">
        <f>IFERROR(__xludf.DUMMYFUNCTION("""COMPUTED_VALUE"""),0.8734999999999999)</f>
        <v>0.8735</v>
      </c>
      <c r="D95" s="21">
        <f>IFERROR(__xludf.DUMMYFUNCTION("""COMPUTED_VALUE"""),1.910641)</f>
        <v>1.910641</v>
      </c>
      <c r="E95" s="20">
        <f>IFERROR(__xludf.DUMMYFUNCTION("""COMPUTED_VALUE"""),1.2581594999999999)</f>
        <v>1.2581595</v>
      </c>
      <c r="F95" s="20">
        <f>IFERROR(__xludf.DUMMYFUNCTION("""COMPUTED_VALUE"""),1.0441893071428572)</f>
        <v>1.044189307</v>
      </c>
      <c r="G95" s="20">
        <f>IFERROR(__xludf.DUMMYFUNCTION("""COMPUTED_VALUE"""),0.85957)</f>
        <v>0.85957</v>
      </c>
      <c r="H95" s="23"/>
      <c r="J95" s="22"/>
    </row>
    <row r="96">
      <c r="A96" s="19">
        <f>IFERROR(__xludf.DUMMYFUNCTION("""COMPUTED_VALUE"""),44656.0)</f>
        <v>44656</v>
      </c>
      <c r="B96" s="20">
        <f>IFERROR(__xludf.DUMMYFUNCTION("""COMPUTED_VALUE"""),1.1818438181818183)</f>
        <v>1.181843818</v>
      </c>
      <c r="C96" s="21">
        <f>IFERROR(__xludf.DUMMYFUNCTION("""COMPUTED_VALUE"""),0.8734999999999999)</f>
        <v>0.8735</v>
      </c>
      <c r="D96" s="21">
        <f>IFERROR(__xludf.DUMMYFUNCTION("""COMPUTED_VALUE"""),1.910641)</f>
        <v>1.910641</v>
      </c>
      <c r="E96" s="20">
        <f>IFERROR(__xludf.DUMMYFUNCTION("""COMPUTED_VALUE"""),1.1942163)</f>
        <v>1.1942163</v>
      </c>
      <c r="F96" s="20">
        <f>IFERROR(__xludf.DUMMYFUNCTION("""COMPUTED_VALUE"""),1.029941875)</f>
        <v>1.029941875</v>
      </c>
      <c r="G96" s="20">
        <f>IFERROR(__xludf.DUMMYFUNCTION("""COMPUTED_VALUE"""),0.85957)</f>
        <v>0.85957</v>
      </c>
      <c r="H96" s="23"/>
      <c r="J96" s="22"/>
    </row>
    <row r="97">
      <c r="A97" s="19">
        <f>IFERROR(__xludf.DUMMYFUNCTION("""COMPUTED_VALUE"""),44657.0)</f>
        <v>44657</v>
      </c>
      <c r="B97" s="20">
        <f>IFERROR(__xludf.DUMMYFUNCTION("""COMPUTED_VALUE"""),1.1818438181818183)</f>
        <v>1.181843818</v>
      </c>
      <c r="C97" s="21">
        <f>IFERROR(__xludf.DUMMYFUNCTION("""COMPUTED_VALUE"""),0.8734999999999999)</f>
        <v>0.8735</v>
      </c>
      <c r="D97" s="21">
        <f>IFERROR(__xludf.DUMMYFUNCTION("""COMPUTED_VALUE"""),1.910641)</f>
        <v>1.910641</v>
      </c>
      <c r="E97" s="20">
        <f>IFERROR(__xludf.DUMMYFUNCTION("""COMPUTED_VALUE"""),1.1704195)</f>
        <v>1.1704195</v>
      </c>
      <c r="F97" s="20">
        <f>IFERROR(__xludf.DUMMYFUNCTION("""COMPUTED_VALUE"""),1.0244527749999999)</f>
        <v>1.024452775</v>
      </c>
      <c r="G97" s="20">
        <f>IFERROR(__xludf.DUMMYFUNCTION("""COMPUTED_VALUE"""),0.85957)</f>
        <v>0.85957</v>
      </c>
      <c r="H97" s="23"/>
      <c r="J97" s="22"/>
    </row>
    <row r="98">
      <c r="A98" s="19">
        <f>IFERROR(__xludf.DUMMYFUNCTION("""COMPUTED_VALUE"""),44658.0)</f>
        <v>44658</v>
      </c>
      <c r="B98" s="20">
        <f>IFERROR(__xludf.DUMMYFUNCTION("""COMPUTED_VALUE"""),1.1818438181818183)</f>
        <v>1.181843818</v>
      </c>
      <c r="C98" s="21">
        <f>IFERROR(__xludf.DUMMYFUNCTION("""COMPUTED_VALUE"""),0.8734999999999999)</f>
        <v>0.8735</v>
      </c>
      <c r="D98" s="21">
        <f>IFERROR(__xludf.DUMMYFUNCTION("""COMPUTED_VALUE"""),1.910641)</f>
        <v>1.910641</v>
      </c>
      <c r="E98" s="20">
        <f>IFERROR(__xludf.DUMMYFUNCTION("""COMPUTED_VALUE"""),1.1425888)</f>
        <v>1.1425888</v>
      </c>
      <c r="F98" s="20">
        <f>IFERROR(__xludf.DUMMYFUNCTION("""COMPUTED_VALUE"""),1.00993555)</f>
        <v>1.00993555</v>
      </c>
      <c r="G98" s="20">
        <f>IFERROR(__xludf.DUMMYFUNCTION("""COMPUTED_VALUE"""),0.85957)</f>
        <v>0.85957</v>
      </c>
      <c r="H98" s="23"/>
      <c r="J98" s="22"/>
    </row>
    <row r="99">
      <c r="A99" s="19">
        <f>IFERROR(__xludf.DUMMYFUNCTION("""COMPUTED_VALUE"""),44659.0)</f>
        <v>44659</v>
      </c>
      <c r="B99" s="20">
        <f>IFERROR(__xludf.DUMMYFUNCTION("""COMPUTED_VALUE"""),1.1818438181818183)</f>
        <v>1.181843818</v>
      </c>
      <c r="C99" s="21">
        <f>IFERROR(__xludf.DUMMYFUNCTION("""COMPUTED_VALUE"""),0.8734999999999999)</f>
        <v>0.8735</v>
      </c>
      <c r="D99" s="21">
        <f>IFERROR(__xludf.DUMMYFUNCTION("""COMPUTED_VALUE"""),1.910641)</f>
        <v>1.910641</v>
      </c>
      <c r="E99" s="20">
        <f>IFERROR(__xludf.DUMMYFUNCTION("""COMPUTED_VALUE"""),1.1522295)</f>
        <v>1.1522295</v>
      </c>
      <c r="F99" s="20">
        <f>IFERROR(__xludf.DUMMYFUNCTION("""COMPUTED_VALUE"""),1.009395582142857)</f>
        <v>1.009395582</v>
      </c>
      <c r="G99" s="20">
        <f>IFERROR(__xludf.DUMMYFUNCTION("""COMPUTED_VALUE"""),0.85957)</f>
        <v>0.85957</v>
      </c>
      <c r="H99" s="23"/>
      <c r="J99" s="22"/>
    </row>
    <row r="100">
      <c r="A100" s="19">
        <f>IFERROR(__xludf.DUMMYFUNCTION("""COMPUTED_VALUE"""),44660.0)</f>
        <v>44660</v>
      </c>
      <c r="B100" s="20">
        <f>IFERROR(__xludf.DUMMYFUNCTION("""COMPUTED_VALUE"""),1.1818438181818183)</f>
        <v>1.181843818</v>
      </c>
      <c r="C100" s="21">
        <f>IFERROR(__xludf.DUMMYFUNCTION("""COMPUTED_VALUE"""),0.8734999999999999)</f>
        <v>0.8735</v>
      </c>
      <c r="D100" s="21">
        <f>IFERROR(__xludf.DUMMYFUNCTION("""COMPUTED_VALUE"""),1.910641)</f>
        <v>1.910641</v>
      </c>
      <c r="E100" s="20">
        <f>IFERROR(__xludf.DUMMYFUNCTION("""COMPUTED_VALUE"""),1.113228)</f>
        <v>1.113228</v>
      </c>
      <c r="F100" s="20">
        <f>IFERROR(__xludf.DUMMYFUNCTION("""COMPUTED_VALUE"""),1.0088556142857141)</f>
        <v>1.008855614</v>
      </c>
      <c r="G100" s="20">
        <f>IFERROR(__xludf.DUMMYFUNCTION("""COMPUTED_VALUE"""),0.85957)</f>
        <v>0.85957</v>
      </c>
      <c r="H100" s="23"/>
      <c r="J100" s="22"/>
    </row>
    <row r="101">
      <c r="A101" s="19">
        <f>IFERROR(__xludf.DUMMYFUNCTION("""COMPUTED_VALUE"""),44661.0)</f>
        <v>44661</v>
      </c>
      <c r="B101" s="20">
        <f>IFERROR(__xludf.DUMMYFUNCTION("""COMPUTED_VALUE"""),1.1818438181818183)</f>
        <v>1.181843818</v>
      </c>
      <c r="C101" s="21">
        <f>IFERROR(__xludf.DUMMYFUNCTION("""COMPUTED_VALUE"""),0.8734999999999999)</f>
        <v>0.8735</v>
      </c>
      <c r="D101" s="21">
        <f>IFERROR(__xludf.DUMMYFUNCTION("""COMPUTED_VALUE"""),1.910641)</f>
        <v>1.910641</v>
      </c>
      <c r="E101" s="20">
        <f>IFERROR(__xludf.DUMMYFUNCTION("""COMPUTED_VALUE"""),1.1721314999999999)</f>
        <v>1.1721315</v>
      </c>
      <c r="F101" s="20">
        <f>IFERROR(__xludf.DUMMYFUNCTION("""COMPUTED_VALUE"""),1.0083156464285714)</f>
        <v>1.008315646</v>
      </c>
      <c r="G101" s="20">
        <f>IFERROR(__xludf.DUMMYFUNCTION("""COMPUTED_VALUE"""),0.85957)</f>
        <v>0.85957</v>
      </c>
      <c r="H101" s="23"/>
      <c r="J101" s="22"/>
    </row>
    <row r="102">
      <c r="A102" s="19">
        <f>IFERROR(__xludf.DUMMYFUNCTION("""COMPUTED_VALUE"""),44662.0)</f>
        <v>44662</v>
      </c>
      <c r="B102" s="20">
        <f>IFERROR(__xludf.DUMMYFUNCTION("""COMPUTED_VALUE"""),1.1710235000000002)</f>
        <v>1.1710235</v>
      </c>
      <c r="C102" s="21">
        <f>IFERROR(__xludf.DUMMYFUNCTION("""COMPUTED_VALUE"""),0.8945)</f>
        <v>0.8945</v>
      </c>
      <c r="D102" s="21">
        <f>IFERROR(__xludf.DUMMYFUNCTION("""COMPUTED_VALUE"""),1.910641)</f>
        <v>1.910641</v>
      </c>
      <c r="E102" s="20">
        <f>IFERROR(__xludf.DUMMYFUNCTION("""COMPUTED_VALUE"""),1.1454564)</f>
        <v>1.1454564</v>
      </c>
      <c r="F102" s="20">
        <f>IFERROR(__xludf.DUMMYFUNCTION("""COMPUTED_VALUE"""),1.0074680535714284)</f>
        <v>1.007468054</v>
      </c>
      <c r="G102" s="20">
        <f>IFERROR(__xludf.DUMMYFUNCTION("""COMPUTED_VALUE"""),0.85957)</f>
        <v>0.85957</v>
      </c>
      <c r="H102" s="23"/>
      <c r="J102" s="22"/>
    </row>
    <row r="103">
      <c r="A103" s="19">
        <f>IFERROR(__xludf.DUMMYFUNCTION("""COMPUTED_VALUE"""),44663.0)</f>
        <v>44663</v>
      </c>
      <c r="B103" s="20">
        <f>IFERROR(__xludf.DUMMYFUNCTION("""COMPUTED_VALUE"""),1.1710235000000002)</f>
        <v>1.1710235</v>
      </c>
      <c r="C103" s="21">
        <f>IFERROR(__xludf.DUMMYFUNCTION("""COMPUTED_VALUE"""),0.8945)</f>
        <v>0.8945</v>
      </c>
      <c r="D103" s="21">
        <f>IFERROR(__xludf.DUMMYFUNCTION("""COMPUTED_VALUE"""),1.910641)</f>
        <v>1.910641</v>
      </c>
      <c r="E103" s="20">
        <f>IFERROR(__xludf.DUMMYFUNCTION("""COMPUTED_VALUE"""),1.1315464)</f>
        <v>1.1315464</v>
      </c>
      <c r="F103" s="20">
        <f>IFERROR(__xludf.DUMMYFUNCTION("""COMPUTED_VALUE"""),1.0059696714285713)</f>
        <v>1.005969671</v>
      </c>
      <c r="G103" s="20">
        <f>IFERROR(__xludf.DUMMYFUNCTION("""COMPUTED_VALUE"""),0.85957)</f>
        <v>0.85957</v>
      </c>
      <c r="H103" s="23"/>
      <c r="J103" s="22"/>
    </row>
    <row r="104">
      <c r="A104" s="19">
        <f>IFERROR(__xludf.DUMMYFUNCTION("""COMPUTED_VALUE"""),44664.0)</f>
        <v>44664</v>
      </c>
      <c r="B104" s="20">
        <f>IFERROR(__xludf.DUMMYFUNCTION("""COMPUTED_VALUE"""),1.1710235000000002)</f>
        <v>1.1710235</v>
      </c>
      <c r="C104" s="21">
        <f>IFERROR(__xludf.DUMMYFUNCTION("""COMPUTED_VALUE"""),0.8945)</f>
        <v>0.8945</v>
      </c>
      <c r="D104" s="21">
        <f>IFERROR(__xludf.DUMMYFUNCTION("""COMPUTED_VALUE"""),1.910641)</f>
        <v>1.910641</v>
      </c>
      <c r="E104" s="20">
        <f>IFERROR(__xludf.DUMMYFUNCTION("""COMPUTED_VALUE"""),1.1429098)</f>
        <v>1.1429098</v>
      </c>
      <c r="F104" s="20">
        <f>IFERROR(__xludf.DUMMYFUNCTION("""COMPUTED_VALUE"""),1.0092152107142855)</f>
        <v>1.009215211</v>
      </c>
      <c r="G104" s="20">
        <f>IFERROR(__xludf.DUMMYFUNCTION("""COMPUTED_VALUE"""),0.85957)</f>
        <v>0.85957</v>
      </c>
      <c r="H104" s="23"/>
      <c r="J104" s="22"/>
    </row>
    <row r="105">
      <c r="A105" s="19">
        <f>IFERROR(__xludf.DUMMYFUNCTION("""COMPUTED_VALUE"""),44665.0)</f>
        <v>44665</v>
      </c>
      <c r="B105" s="20">
        <f>IFERROR(__xludf.DUMMYFUNCTION("""COMPUTED_VALUE"""),1.1710235000000002)</f>
        <v>1.1710235</v>
      </c>
      <c r="C105" s="21">
        <f>IFERROR(__xludf.DUMMYFUNCTION("""COMPUTED_VALUE"""),0.8945)</f>
        <v>0.8945</v>
      </c>
      <c r="D105" s="21">
        <f>IFERROR(__xludf.DUMMYFUNCTION("""COMPUTED_VALUE"""),1.910641)</f>
        <v>1.910641</v>
      </c>
      <c r="E105" s="20">
        <f>IFERROR(__xludf.DUMMYFUNCTION("""COMPUTED_VALUE"""),1.0908114999999998)</f>
        <v>1.0908115</v>
      </c>
      <c r="F105" s="20">
        <f>IFERROR(__xludf.DUMMYFUNCTION("""COMPUTED_VALUE"""),1.002280082142857)</f>
        <v>1.002280082</v>
      </c>
      <c r="G105" s="20">
        <f>IFERROR(__xludf.DUMMYFUNCTION("""COMPUTED_VALUE"""),0.85957)</f>
        <v>0.85957</v>
      </c>
      <c r="H105" s="23"/>
      <c r="J105" s="22"/>
    </row>
    <row r="106">
      <c r="A106" s="19">
        <f>IFERROR(__xludf.DUMMYFUNCTION("""COMPUTED_VALUE"""),44666.0)</f>
        <v>44666</v>
      </c>
      <c r="B106" s="20">
        <f>IFERROR(__xludf.DUMMYFUNCTION("""COMPUTED_VALUE"""),1.1710235000000002)</f>
        <v>1.1710235</v>
      </c>
      <c r="C106" s="21">
        <f>IFERROR(__xludf.DUMMYFUNCTION("""COMPUTED_VALUE"""),0.8945)</f>
        <v>0.8945</v>
      </c>
      <c r="D106" s="21">
        <f>IFERROR(__xludf.DUMMYFUNCTION("""COMPUTED_VALUE"""),1.910641)</f>
        <v>1.910641</v>
      </c>
      <c r="E106" s="20">
        <f>IFERROR(__xludf.DUMMYFUNCTION("""COMPUTED_VALUE"""),0.9855556)</f>
        <v>0.9855556</v>
      </c>
      <c r="F106" s="20">
        <f>IFERROR(__xludf.DUMMYFUNCTION("""COMPUTED_VALUE"""),0.995279989285714)</f>
        <v>0.9952799893</v>
      </c>
      <c r="G106" s="20">
        <f>IFERROR(__xludf.DUMMYFUNCTION("""COMPUTED_VALUE"""),0.85957)</f>
        <v>0.85957</v>
      </c>
      <c r="H106" s="23"/>
      <c r="J106" s="22"/>
    </row>
    <row r="107">
      <c r="A107" s="19">
        <f>IFERROR(__xludf.DUMMYFUNCTION("""COMPUTED_VALUE"""),44667.0)</f>
        <v>44667</v>
      </c>
      <c r="B107" s="20">
        <f>IFERROR(__xludf.DUMMYFUNCTION("""COMPUTED_VALUE"""),1.1710235000000002)</f>
        <v>1.1710235</v>
      </c>
      <c r="C107" s="21">
        <f>IFERROR(__xludf.DUMMYFUNCTION("""COMPUTED_VALUE"""),0.8945)</f>
        <v>0.8945</v>
      </c>
      <c r="D107" s="21">
        <f>IFERROR(__xludf.DUMMYFUNCTION("""COMPUTED_VALUE"""),1.910641)</f>
        <v>1.910641</v>
      </c>
      <c r="E107" s="20">
        <f>IFERROR(__xludf.DUMMYFUNCTION("""COMPUTED_VALUE"""),0.9602500999999999)</f>
        <v>0.9602501</v>
      </c>
      <c r="F107" s="20">
        <f>IFERROR(__xludf.DUMMYFUNCTION("""COMPUTED_VALUE"""),0.9882798964285712)</f>
        <v>0.9882798964</v>
      </c>
      <c r="G107" s="20">
        <f>IFERROR(__xludf.DUMMYFUNCTION("""COMPUTED_VALUE"""),0.85957)</f>
        <v>0.85957</v>
      </c>
      <c r="H107" s="23"/>
      <c r="J107" s="22"/>
    </row>
    <row r="108">
      <c r="A108" s="19">
        <f>IFERROR(__xludf.DUMMYFUNCTION("""COMPUTED_VALUE"""),44668.0)</f>
        <v>44668</v>
      </c>
      <c r="B108" s="20">
        <f>IFERROR(__xludf.DUMMYFUNCTION("""COMPUTED_VALUE"""),1.1710235000000002)</f>
        <v>1.1710235</v>
      </c>
      <c r="C108" s="21">
        <f>IFERROR(__xludf.DUMMYFUNCTION("""COMPUTED_VALUE"""),0.8945)</f>
        <v>0.8945</v>
      </c>
      <c r="D108" s="21">
        <f>IFERROR(__xludf.DUMMYFUNCTION("""COMPUTED_VALUE"""),1.910641)</f>
        <v>1.910641</v>
      </c>
      <c r="E108" s="20">
        <f>IFERROR(__xludf.DUMMYFUNCTION("""COMPUTED_VALUE"""),0.8687543999999999)</f>
        <v>0.8687544</v>
      </c>
      <c r="F108" s="20">
        <f>IFERROR(__xludf.DUMMYFUNCTION("""COMPUTED_VALUE"""),0.9812798035714284)</f>
        <v>0.9812798036</v>
      </c>
      <c r="G108" s="20">
        <f>IFERROR(__xludf.DUMMYFUNCTION("""COMPUTED_VALUE"""),0.85957)</f>
        <v>0.85957</v>
      </c>
      <c r="H108" s="23"/>
      <c r="J108" s="22"/>
    </row>
    <row r="109">
      <c r="A109" s="19">
        <f>IFERROR(__xludf.DUMMYFUNCTION("""COMPUTED_VALUE"""),44669.0)</f>
        <v>44669</v>
      </c>
      <c r="B109" s="20">
        <f>IFERROR(__xludf.DUMMYFUNCTION("""COMPUTED_VALUE"""),1.2264063076923077)</f>
        <v>1.226406308</v>
      </c>
      <c r="C109" s="21">
        <f>IFERROR(__xludf.DUMMYFUNCTION("""COMPUTED_VALUE"""),1.025)</f>
        <v>1.025</v>
      </c>
      <c r="D109" s="21">
        <f>IFERROR(__xludf.DUMMYFUNCTION("""COMPUTED_VALUE"""),1.910641)</f>
        <v>1.910641</v>
      </c>
      <c r="E109" s="20">
        <f>IFERROR(__xludf.DUMMYFUNCTION("""COMPUTED_VALUE"""),0.8631262)</f>
        <v>0.8631262</v>
      </c>
      <c r="F109" s="20">
        <f>IFERROR(__xludf.DUMMYFUNCTION("""COMPUTED_VALUE"""),0.976230932142857)</f>
        <v>0.9762309321</v>
      </c>
      <c r="G109" s="20">
        <f>IFERROR(__xludf.DUMMYFUNCTION("""COMPUTED_VALUE"""),0.85957)</f>
        <v>0.85957</v>
      </c>
      <c r="H109" s="23"/>
      <c r="J109" s="22"/>
    </row>
    <row r="110">
      <c r="A110" s="19">
        <f>IFERROR(__xludf.DUMMYFUNCTION("""COMPUTED_VALUE"""),44670.0)</f>
        <v>44670</v>
      </c>
      <c r="B110" s="20">
        <f>IFERROR(__xludf.DUMMYFUNCTION("""COMPUTED_VALUE"""),1.2264063076923077)</f>
        <v>1.226406308</v>
      </c>
      <c r="C110" s="21">
        <f>IFERROR(__xludf.DUMMYFUNCTION("""COMPUTED_VALUE"""),1.025)</f>
        <v>1.025</v>
      </c>
      <c r="D110" s="21">
        <f>IFERROR(__xludf.DUMMYFUNCTION("""COMPUTED_VALUE"""),1.910641)</f>
        <v>1.910641</v>
      </c>
      <c r="E110" s="20">
        <f>IFERROR(__xludf.DUMMYFUNCTION("""COMPUTED_VALUE"""),0.9826559)</f>
        <v>0.9826559</v>
      </c>
      <c r="F110" s="20">
        <f>IFERROR(__xludf.DUMMYFUNCTION("""COMPUTED_VALUE"""),0.972991125)</f>
        <v>0.972991125</v>
      </c>
      <c r="G110" s="20">
        <f>IFERROR(__xludf.DUMMYFUNCTION("""COMPUTED_VALUE"""),0.85957)</f>
        <v>0.85957</v>
      </c>
      <c r="H110" s="23"/>
      <c r="J110" s="22"/>
    </row>
    <row r="111">
      <c r="A111" s="19">
        <f>IFERROR(__xludf.DUMMYFUNCTION("""COMPUTED_VALUE"""),44671.0)</f>
        <v>44671</v>
      </c>
      <c r="B111" s="20">
        <f>IFERROR(__xludf.DUMMYFUNCTION("""COMPUTED_VALUE"""),1.2264063076923077)</f>
        <v>1.226406308</v>
      </c>
      <c r="C111" s="21">
        <f>IFERROR(__xludf.DUMMYFUNCTION("""COMPUTED_VALUE"""),1.025)</f>
        <v>1.025</v>
      </c>
      <c r="D111" s="21">
        <f>IFERROR(__xludf.DUMMYFUNCTION("""COMPUTED_VALUE"""),1.910641)</f>
        <v>1.910641</v>
      </c>
      <c r="E111" s="20">
        <f>IFERROR(__xludf.DUMMYFUNCTION("""COMPUTED_VALUE"""),1.0215718)</f>
        <v>1.0215718</v>
      </c>
      <c r="F111" s="20">
        <f>IFERROR(__xludf.DUMMYFUNCTION("""COMPUTED_VALUE"""),0.9675853321428571)</f>
        <v>0.9675853321</v>
      </c>
      <c r="G111" s="20">
        <f>IFERROR(__xludf.DUMMYFUNCTION("""COMPUTED_VALUE"""),0.85957)</f>
        <v>0.85957</v>
      </c>
      <c r="H111" s="23"/>
      <c r="J111" s="22"/>
    </row>
    <row r="112">
      <c r="A112" s="19">
        <f>IFERROR(__xludf.DUMMYFUNCTION("""COMPUTED_VALUE"""),44672.0)</f>
        <v>44672</v>
      </c>
      <c r="B112" s="20">
        <f>IFERROR(__xludf.DUMMYFUNCTION("""COMPUTED_VALUE"""),1.2264063076923077)</f>
        <v>1.226406308</v>
      </c>
      <c r="C112" s="21">
        <f>IFERROR(__xludf.DUMMYFUNCTION("""COMPUTED_VALUE"""),1.025)</f>
        <v>1.025</v>
      </c>
      <c r="D112" s="21">
        <f>IFERROR(__xludf.DUMMYFUNCTION("""COMPUTED_VALUE"""),1.910641)</f>
        <v>1.910641</v>
      </c>
      <c r="E112" s="20">
        <f>IFERROR(__xludf.DUMMYFUNCTION("""COMPUTED_VALUE"""),1.0285589)</f>
        <v>1.0285589</v>
      </c>
      <c r="F112" s="20">
        <f>IFERROR(__xludf.DUMMYFUNCTION("""COMPUTED_VALUE"""),0.9829566464285714)</f>
        <v>0.9829566464</v>
      </c>
      <c r="G112" s="20">
        <f>IFERROR(__xludf.DUMMYFUNCTION("""COMPUTED_VALUE"""),0.85957)</f>
        <v>0.85957</v>
      </c>
      <c r="H112" s="23"/>
      <c r="J112" s="22"/>
    </row>
    <row r="113">
      <c r="A113" s="19">
        <f>IFERROR(__xludf.DUMMYFUNCTION("""COMPUTED_VALUE"""),44673.0)</f>
        <v>44673</v>
      </c>
      <c r="B113" s="20">
        <f>IFERROR(__xludf.DUMMYFUNCTION("""COMPUTED_VALUE"""),1.2264063076923077)</f>
        <v>1.226406308</v>
      </c>
      <c r="C113" s="21">
        <f>IFERROR(__xludf.DUMMYFUNCTION("""COMPUTED_VALUE"""),1.025)</f>
        <v>1.025</v>
      </c>
      <c r="D113" s="21">
        <f>IFERROR(__xludf.DUMMYFUNCTION("""COMPUTED_VALUE"""),1.910641)</f>
        <v>1.910641</v>
      </c>
      <c r="E113" s="20">
        <f>IFERROR(__xludf.DUMMYFUNCTION("""COMPUTED_VALUE"""),1.0479045)</f>
        <v>1.0479045</v>
      </c>
      <c r="F113" s="20">
        <f>IFERROR(__xludf.DUMMYFUNCTION("""COMPUTED_VALUE"""),0.9922816964285713)</f>
        <v>0.9922816964</v>
      </c>
      <c r="G113" s="20">
        <f>IFERROR(__xludf.DUMMYFUNCTION("""COMPUTED_VALUE"""),0.85957)</f>
        <v>0.85957</v>
      </c>
      <c r="H113" s="23"/>
      <c r="J113" s="22"/>
    </row>
    <row r="114">
      <c r="A114" s="19">
        <f>IFERROR(__xludf.DUMMYFUNCTION("""COMPUTED_VALUE"""),44674.0)</f>
        <v>44674</v>
      </c>
      <c r="B114" s="20">
        <f>IFERROR(__xludf.DUMMYFUNCTION("""COMPUTED_VALUE"""),1.2264063076923077)</f>
        <v>1.226406308</v>
      </c>
      <c r="C114" s="21">
        <f>IFERROR(__xludf.DUMMYFUNCTION("""COMPUTED_VALUE"""),1.025)</f>
        <v>1.025</v>
      </c>
      <c r="D114" s="21">
        <f>IFERROR(__xludf.DUMMYFUNCTION("""COMPUTED_VALUE"""),1.910641)</f>
        <v>1.910641</v>
      </c>
      <c r="E114" s="20">
        <f>IFERROR(__xludf.DUMMYFUNCTION("""COMPUTED_VALUE"""),1.0234229)</f>
        <v>1.0234229</v>
      </c>
      <c r="F114" s="20">
        <f>IFERROR(__xludf.DUMMYFUNCTION("""COMPUTED_VALUE"""),1.0016067464285714)</f>
        <v>1.001606746</v>
      </c>
      <c r="G114" s="20">
        <f>IFERROR(__xludf.DUMMYFUNCTION("""COMPUTED_VALUE"""),0.85957)</f>
        <v>0.85957</v>
      </c>
      <c r="H114" s="23"/>
      <c r="J114" s="22"/>
    </row>
    <row r="115">
      <c r="A115" s="19">
        <f>IFERROR(__xludf.DUMMYFUNCTION("""COMPUTED_VALUE"""),44675.0)</f>
        <v>44675</v>
      </c>
      <c r="B115" s="20">
        <f>IFERROR(__xludf.DUMMYFUNCTION("""COMPUTED_VALUE"""),1.2264063076923077)</f>
        <v>1.226406308</v>
      </c>
      <c r="C115" s="21">
        <f>IFERROR(__xludf.DUMMYFUNCTION("""COMPUTED_VALUE"""),1.025)</f>
        <v>1.025</v>
      </c>
      <c r="D115" s="21">
        <f>IFERROR(__xludf.DUMMYFUNCTION("""COMPUTED_VALUE"""),1.910641)</f>
        <v>1.910641</v>
      </c>
      <c r="E115" s="20">
        <f>IFERROR(__xludf.DUMMYFUNCTION("""COMPUTED_VALUE"""),1.0373329)</f>
        <v>1.0373329</v>
      </c>
      <c r="F115" s="20">
        <f>IFERROR(__xludf.DUMMYFUNCTION("""COMPUTED_VALUE"""),1.0109317964285713)</f>
        <v>1.010931796</v>
      </c>
      <c r="G115" s="20">
        <f>IFERROR(__xludf.DUMMYFUNCTION("""COMPUTED_VALUE"""),0.85957)</f>
        <v>0.85957</v>
      </c>
      <c r="H115" s="23"/>
      <c r="J115" s="22"/>
    </row>
    <row r="116">
      <c r="A116" s="19">
        <f>IFERROR(__xludf.DUMMYFUNCTION("""COMPUTED_VALUE"""),44676.0)</f>
        <v>44676</v>
      </c>
      <c r="B116" s="20">
        <f>IFERROR(__xludf.DUMMYFUNCTION("""COMPUTED_VALUE"""),1.2162344285714288)</f>
        <v>1.216234429</v>
      </c>
      <c r="C116" s="21">
        <f>IFERROR(__xludf.DUMMYFUNCTION("""COMPUTED_VALUE"""),1.025)</f>
        <v>1.025</v>
      </c>
      <c r="D116" s="21">
        <f>IFERROR(__xludf.DUMMYFUNCTION("""COMPUTED_VALUE"""),1.890641)</f>
        <v>1.890641</v>
      </c>
      <c r="E116" s="20">
        <f>IFERROR(__xludf.DUMMYFUNCTION("""COMPUTED_VALUE"""),1.0433142)</f>
        <v>1.0433142</v>
      </c>
      <c r="F116" s="20">
        <f>IFERROR(__xludf.DUMMYFUNCTION("""COMPUTED_VALUE"""),1.0167682642857143)</f>
        <v>1.016768264</v>
      </c>
      <c r="G116" s="20">
        <f>IFERROR(__xludf.DUMMYFUNCTION("""COMPUTED_VALUE"""),0.85957)</f>
        <v>0.85957</v>
      </c>
      <c r="H116" s="23"/>
      <c r="J116" s="22"/>
    </row>
    <row r="117">
      <c r="A117" s="19">
        <f>IFERROR(__xludf.DUMMYFUNCTION("""COMPUTED_VALUE"""),44677.0)</f>
        <v>44677</v>
      </c>
      <c r="B117" s="20">
        <f>IFERROR(__xludf.DUMMYFUNCTION("""COMPUTED_VALUE"""),1.2162344285714288)</f>
        <v>1.216234429</v>
      </c>
      <c r="C117" s="21">
        <f>IFERROR(__xludf.DUMMYFUNCTION("""COMPUTED_VALUE"""),1.025)</f>
        <v>1.025</v>
      </c>
      <c r="D117" s="21">
        <f>IFERROR(__xludf.DUMMYFUNCTION("""COMPUTED_VALUE"""),1.890641)</f>
        <v>1.890641</v>
      </c>
      <c r="E117" s="20">
        <f>IFERROR(__xludf.DUMMYFUNCTION("""COMPUTED_VALUE"""),1.0006854)</f>
        <v>1.0006854</v>
      </c>
      <c r="F117" s="20">
        <f>IFERROR(__xludf.DUMMYFUNCTION("""COMPUTED_VALUE"""),1.0272565571428571)</f>
        <v>1.027256557</v>
      </c>
      <c r="G117" s="20">
        <f>IFERROR(__xludf.DUMMYFUNCTION("""COMPUTED_VALUE"""),0.85957)</f>
        <v>0.85957</v>
      </c>
      <c r="H117" s="23"/>
      <c r="J117" s="22"/>
    </row>
    <row r="118">
      <c r="A118" s="19">
        <f>IFERROR(__xludf.DUMMYFUNCTION("""COMPUTED_VALUE"""),44678.0)</f>
        <v>44678</v>
      </c>
      <c r="B118" s="20">
        <f>IFERROR(__xludf.DUMMYFUNCTION("""COMPUTED_VALUE"""),1.2162344285714288)</f>
        <v>1.216234429</v>
      </c>
      <c r="C118" s="21">
        <f>IFERROR(__xludf.DUMMYFUNCTION("""COMPUTED_VALUE"""),1.025)</f>
        <v>1.025</v>
      </c>
      <c r="D118" s="21">
        <f>IFERROR(__xludf.DUMMYFUNCTION("""COMPUTED_VALUE"""),1.890641)</f>
        <v>1.890641</v>
      </c>
      <c r="E118" s="20">
        <f>IFERROR(__xludf.DUMMYFUNCTION("""COMPUTED_VALUE"""),1.2198963)</f>
        <v>1.2198963</v>
      </c>
      <c r="F118" s="20">
        <f>IFERROR(__xludf.DUMMYFUNCTION("""COMPUTED_VALUE"""),1.0416900928571426)</f>
        <v>1.041690093</v>
      </c>
      <c r="G118" s="20">
        <f>IFERROR(__xludf.DUMMYFUNCTION("""COMPUTED_VALUE"""),0.85957)</f>
        <v>0.85957</v>
      </c>
      <c r="H118" s="23"/>
      <c r="J118" s="22"/>
    </row>
    <row r="119">
      <c r="A119" s="19">
        <f>IFERROR(__xludf.DUMMYFUNCTION("""COMPUTED_VALUE"""),44679.0)</f>
        <v>44679</v>
      </c>
      <c r="B119" s="20">
        <f>IFERROR(__xludf.DUMMYFUNCTION("""COMPUTED_VALUE"""),1.2162344285714288)</f>
        <v>1.216234429</v>
      </c>
      <c r="C119" s="21">
        <f>IFERROR(__xludf.DUMMYFUNCTION("""COMPUTED_VALUE"""),1.025)</f>
        <v>1.025</v>
      </c>
      <c r="D119" s="21">
        <f>IFERROR(__xludf.DUMMYFUNCTION("""COMPUTED_VALUE"""),1.890641)</f>
        <v>1.890641</v>
      </c>
      <c r="E119" s="20">
        <f>IFERROR(__xludf.DUMMYFUNCTION("""COMPUTED_VALUE"""),1.0911324999999998)</f>
        <v>1.0911325</v>
      </c>
      <c r="F119" s="20">
        <f>IFERROR(__xludf.DUMMYFUNCTION("""COMPUTED_VALUE"""),1.038649)</f>
        <v>1.038649</v>
      </c>
      <c r="G119" s="20">
        <f>IFERROR(__xludf.DUMMYFUNCTION("""COMPUTED_VALUE"""),0.85957)</f>
        <v>0.85957</v>
      </c>
      <c r="H119" s="23"/>
      <c r="J119" s="22"/>
    </row>
    <row r="120">
      <c r="A120" s="19">
        <f>IFERROR(__xludf.DUMMYFUNCTION("""COMPUTED_VALUE"""),44680.0)</f>
        <v>44680</v>
      </c>
      <c r="B120" s="20">
        <f>IFERROR(__xludf.DUMMYFUNCTION("""COMPUTED_VALUE"""),1.2162344285714288)</f>
        <v>1.216234429</v>
      </c>
      <c r="C120" s="21">
        <f>IFERROR(__xludf.DUMMYFUNCTION("""COMPUTED_VALUE"""),1.025)</f>
        <v>1.025</v>
      </c>
      <c r="D120" s="21">
        <f>IFERROR(__xludf.DUMMYFUNCTION("""COMPUTED_VALUE"""),1.890641)</f>
        <v>1.890641</v>
      </c>
      <c r="E120" s="20">
        <f>IFERROR(__xludf.DUMMYFUNCTION("""COMPUTED_VALUE"""),1.0407355)</f>
        <v>1.0407355</v>
      </c>
      <c r="F120" s="20">
        <f>IFERROR(__xludf.DUMMYFUNCTION("""COMPUTED_VALUE"""),1.0395416857142856)</f>
        <v>1.039541686</v>
      </c>
      <c r="G120" s="20">
        <f>IFERROR(__xludf.DUMMYFUNCTION("""COMPUTED_VALUE"""),0.85957)</f>
        <v>0.85957</v>
      </c>
      <c r="H120" s="23"/>
      <c r="J120" s="22"/>
    </row>
    <row r="121">
      <c r="A121" s="19">
        <f>IFERROR(__xludf.DUMMYFUNCTION("""COMPUTED_VALUE"""),44681.0)</f>
        <v>44681</v>
      </c>
      <c r="B121" s="20">
        <f>IFERROR(__xludf.DUMMYFUNCTION("""COMPUTED_VALUE"""),1.2162344285714288)</f>
        <v>1.216234429</v>
      </c>
      <c r="C121" s="21">
        <f>IFERROR(__xludf.DUMMYFUNCTION("""COMPUTED_VALUE"""),1.025)</f>
        <v>1.025</v>
      </c>
      <c r="D121" s="21">
        <f>IFERROR(__xludf.DUMMYFUNCTION("""COMPUTED_VALUE"""),1.890641)</f>
        <v>1.890641</v>
      </c>
      <c r="E121" s="20">
        <f>IFERROR(__xludf.DUMMYFUNCTION("""COMPUTED_VALUE"""),1.0050831)</f>
        <v>1.0050831</v>
      </c>
      <c r="F121" s="20">
        <f>IFERROR(__xludf.DUMMYFUNCTION("""COMPUTED_VALUE"""),1.0404343714285713)</f>
        <v>1.040434371</v>
      </c>
      <c r="G121" s="20">
        <f>IFERROR(__xludf.DUMMYFUNCTION("""COMPUTED_VALUE"""),0.85957)</f>
        <v>0.85957</v>
      </c>
      <c r="H121" s="23"/>
      <c r="J121" s="22"/>
    </row>
    <row r="122">
      <c r="A122" s="19">
        <f>IFERROR(__xludf.DUMMYFUNCTION("""COMPUTED_VALUE"""),44682.0)</f>
        <v>44682</v>
      </c>
      <c r="B122" s="20">
        <f>IFERROR(__xludf.DUMMYFUNCTION("""COMPUTED_VALUE"""),1.2162344285714288)</f>
        <v>1.216234429</v>
      </c>
      <c r="C122" s="21">
        <f>IFERROR(__xludf.DUMMYFUNCTION("""COMPUTED_VALUE"""),1.025)</f>
        <v>1.025</v>
      </c>
      <c r="D122" s="21">
        <f>IFERROR(__xludf.DUMMYFUNCTION("""COMPUTED_VALUE"""),1.890641)</f>
        <v>1.890641</v>
      </c>
      <c r="E122" s="20">
        <f>IFERROR(__xludf.DUMMYFUNCTION("""COMPUTED_VALUE"""),0.9926925)</f>
        <v>0.9926925</v>
      </c>
      <c r="F122" s="20">
        <f>IFERROR(__xludf.DUMMYFUNCTION("""COMPUTED_VALUE"""),1.041327057142857)</f>
        <v>1.041327057</v>
      </c>
      <c r="G122" s="20">
        <f>IFERROR(__xludf.DUMMYFUNCTION("""COMPUTED_VALUE"""),0.85957)</f>
        <v>0.85957</v>
      </c>
      <c r="H122" s="23"/>
      <c r="J122" s="22"/>
    </row>
    <row r="123">
      <c r="A123" s="19">
        <f>IFERROR(__xludf.DUMMYFUNCTION("""COMPUTED_VALUE"""),44683.0)</f>
        <v>44683</v>
      </c>
      <c r="B123" s="20">
        <f>IFERROR(__xludf.DUMMYFUNCTION("""COMPUTED_VALUE"""),1.2010801249999998)</f>
        <v>1.201080125</v>
      </c>
      <c r="C123" s="21">
        <f>IFERROR(__xludf.DUMMYFUNCTION("""COMPUTED_VALUE"""),1.025)</f>
        <v>1.025</v>
      </c>
      <c r="D123" s="21">
        <f>IFERROR(__xludf.DUMMYFUNCTION("""COMPUTED_VALUE"""),1.890641)</f>
        <v>1.890641</v>
      </c>
      <c r="E123" s="20">
        <f>IFERROR(__xludf.DUMMYFUNCTION("""COMPUTED_VALUE"""),1.0163181)</f>
        <v>1.0163181</v>
      </c>
      <c r="F123" s="20">
        <f>IFERROR(__xludf.DUMMYFUNCTION("""COMPUTED_VALUE"""),1.0317696642857144)</f>
        <v>1.031769664</v>
      </c>
      <c r="G123" s="20">
        <f>IFERROR(__xludf.DUMMYFUNCTION("""COMPUTED_VALUE"""),0.85957)</f>
        <v>0.85957</v>
      </c>
      <c r="H123" s="23"/>
      <c r="J123" s="22"/>
    </row>
    <row r="124">
      <c r="A124" s="19">
        <f>IFERROR(__xludf.DUMMYFUNCTION("""COMPUTED_VALUE"""),44684.0)</f>
        <v>44684</v>
      </c>
      <c r="B124" s="20">
        <f>IFERROR(__xludf.DUMMYFUNCTION("""COMPUTED_VALUE"""),1.2010801249999998)</f>
        <v>1.201080125</v>
      </c>
      <c r="C124" s="21">
        <f>IFERROR(__xludf.DUMMYFUNCTION("""COMPUTED_VALUE"""),1.025)</f>
        <v>1.025</v>
      </c>
      <c r="D124" s="21">
        <f>IFERROR(__xludf.DUMMYFUNCTION("""COMPUTED_VALUE"""),1.890641)</f>
        <v>1.890641</v>
      </c>
      <c r="E124" s="20">
        <f>IFERROR(__xludf.DUMMYFUNCTION("""COMPUTED_VALUE"""),1.0308487)</f>
        <v>1.0308487</v>
      </c>
      <c r="F124" s="20">
        <f>IFERROR(__xludf.DUMMYFUNCTION("""COMPUTED_VALUE"""),1.0176651535714285)</f>
        <v>1.017665154</v>
      </c>
      <c r="G124" s="20">
        <f>IFERROR(__xludf.DUMMYFUNCTION("""COMPUTED_VALUE"""),0.85957)</f>
        <v>0.85957</v>
      </c>
      <c r="H124" s="23"/>
      <c r="J124" s="22"/>
    </row>
    <row r="125">
      <c r="A125" s="19">
        <f>IFERROR(__xludf.DUMMYFUNCTION("""COMPUTED_VALUE"""),44685.0)</f>
        <v>44685</v>
      </c>
      <c r="B125" s="20">
        <f>IFERROR(__xludf.DUMMYFUNCTION("""COMPUTED_VALUE"""),1.2010801249999998)</f>
        <v>1.201080125</v>
      </c>
      <c r="C125" s="21">
        <f>IFERROR(__xludf.DUMMYFUNCTION("""COMPUTED_VALUE"""),1.025)</f>
        <v>1.025</v>
      </c>
      <c r="D125" s="21">
        <f>IFERROR(__xludf.DUMMYFUNCTION("""COMPUTED_VALUE"""),1.890641)</f>
        <v>1.890641</v>
      </c>
      <c r="E125" s="20">
        <f>IFERROR(__xludf.DUMMYFUNCTION("""COMPUTED_VALUE"""),1.0886928999999999)</f>
        <v>1.0886929</v>
      </c>
      <c r="F125" s="20">
        <f>IFERROR(__xludf.DUMMYFUNCTION("""COMPUTED_VALUE"""),1.0055309714285714)</f>
        <v>1.005530971</v>
      </c>
      <c r="G125" s="20">
        <f>IFERROR(__xludf.DUMMYFUNCTION("""COMPUTED_VALUE"""),0.85957)</f>
        <v>0.85957</v>
      </c>
      <c r="H125" s="23"/>
      <c r="J125" s="22"/>
    </row>
    <row r="126">
      <c r="A126" s="19">
        <f>IFERROR(__xludf.DUMMYFUNCTION("""COMPUTED_VALUE"""),44686.0)</f>
        <v>44686</v>
      </c>
      <c r="B126" s="20">
        <f>IFERROR(__xludf.DUMMYFUNCTION("""COMPUTED_VALUE"""),1.2010801249999998)</f>
        <v>1.201080125</v>
      </c>
      <c r="C126" s="21">
        <f>IFERROR(__xludf.DUMMYFUNCTION("""COMPUTED_VALUE"""),1.025)</f>
        <v>1.025</v>
      </c>
      <c r="D126" s="21">
        <f>IFERROR(__xludf.DUMMYFUNCTION("""COMPUTED_VALUE"""),1.890641)</f>
        <v>1.890641</v>
      </c>
      <c r="E126" s="20">
        <f>IFERROR(__xludf.DUMMYFUNCTION("""COMPUTED_VALUE"""),1.0868845999999999)</f>
        <v>1.0868846</v>
      </c>
      <c r="F126" s="20">
        <f>IFERROR(__xludf.DUMMYFUNCTION("""COMPUTED_VALUE"""),1.0058103178571431)</f>
        <v>1.005810318</v>
      </c>
      <c r="G126" s="20">
        <f>IFERROR(__xludf.DUMMYFUNCTION("""COMPUTED_VALUE"""),0.85957)</f>
        <v>0.85957</v>
      </c>
      <c r="H126" s="23"/>
      <c r="J126" s="22"/>
    </row>
    <row r="127">
      <c r="A127" s="19">
        <f>IFERROR(__xludf.DUMMYFUNCTION("""COMPUTED_VALUE"""),44687.0)</f>
        <v>44687</v>
      </c>
      <c r="B127" s="20">
        <f>IFERROR(__xludf.DUMMYFUNCTION("""COMPUTED_VALUE"""),1.2010801249999998)</f>
        <v>1.201080125</v>
      </c>
      <c r="C127" s="21">
        <f>IFERROR(__xludf.DUMMYFUNCTION("""COMPUTED_VALUE"""),1.025)</f>
        <v>1.025</v>
      </c>
      <c r="D127" s="21">
        <f>IFERROR(__xludf.DUMMYFUNCTION("""COMPUTED_VALUE"""),1.890641)</f>
        <v>1.890641</v>
      </c>
      <c r="E127" s="20">
        <f>IFERROR(__xludf.DUMMYFUNCTION("""COMPUTED_VALUE"""),1.0148201)</f>
        <v>1.0148201</v>
      </c>
      <c r="F127" s="20">
        <f>IFERROR(__xludf.DUMMYFUNCTION("""COMPUTED_VALUE"""),1.0033485535714288)</f>
        <v>1.003348554</v>
      </c>
      <c r="G127" s="20">
        <f>IFERROR(__xludf.DUMMYFUNCTION("""COMPUTED_VALUE"""),0.85957)</f>
        <v>0.85957</v>
      </c>
      <c r="H127" s="23"/>
      <c r="J127" s="22"/>
    </row>
    <row r="128">
      <c r="A128" s="19">
        <f>IFERROR(__xludf.DUMMYFUNCTION("""COMPUTED_VALUE"""),44688.0)</f>
        <v>44688</v>
      </c>
      <c r="B128" s="20">
        <f>IFERROR(__xludf.DUMMYFUNCTION("""COMPUTED_VALUE"""),1.2010801249999998)</f>
        <v>1.201080125</v>
      </c>
      <c r="C128" s="21">
        <f>IFERROR(__xludf.DUMMYFUNCTION("""COMPUTED_VALUE"""),1.025)</f>
        <v>1.025</v>
      </c>
      <c r="D128" s="21">
        <f>IFERROR(__xludf.DUMMYFUNCTION("""COMPUTED_VALUE"""),1.890641)</f>
        <v>1.890641</v>
      </c>
      <c r="E128" s="20">
        <f>IFERROR(__xludf.DUMMYFUNCTION("""COMPUTED_VALUE"""),0.8915025999999999)</f>
        <v>0.8915026</v>
      </c>
      <c r="F128" s="20">
        <f>IFERROR(__xludf.DUMMYFUNCTION("""COMPUTED_VALUE"""),1.0008867892857143)</f>
        <v>1.000886789</v>
      </c>
      <c r="G128" s="20">
        <f>IFERROR(__xludf.DUMMYFUNCTION("""COMPUTED_VALUE"""),0.85957)</f>
        <v>0.85957</v>
      </c>
      <c r="H128" s="23"/>
      <c r="J128" s="22"/>
    </row>
    <row r="129">
      <c r="A129" s="19">
        <f>IFERROR(__xludf.DUMMYFUNCTION("""COMPUTED_VALUE"""),44689.0)</f>
        <v>44689</v>
      </c>
      <c r="B129" s="20">
        <f>IFERROR(__xludf.DUMMYFUNCTION("""COMPUTED_VALUE"""),1.2010801249999998)</f>
        <v>1.201080125</v>
      </c>
      <c r="C129" s="21">
        <f>IFERROR(__xludf.DUMMYFUNCTION("""COMPUTED_VALUE"""),1.025)</f>
        <v>1.025</v>
      </c>
      <c r="D129" s="21">
        <f>IFERROR(__xludf.DUMMYFUNCTION("""COMPUTED_VALUE"""),1.890641)</f>
        <v>1.890641</v>
      </c>
      <c r="E129" s="20">
        <f>IFERROR(__xludf.DUMMYFUNCTION("""COMPUTED_VALUE"""),0.9334679999999999)</f>
        <v>0.933468</v>
      </c>
      <c r="F129" s="20">
        <f>IFERROR(__xludf.DUMMYFUNCTION("""COMPUTED_VALUE"""),0.9984250250000001)</f>
        <v>0.998425025</v>
      </c>
      <c r="G129" s="20">
        <f>IFERROR(__xludf.DUMMYFUNCTION("""COMPUTED_VALUE"""),0.85957)</f>
        <v>0.85957</v>
      </c>
      <c r="H129" s="23"/>
      <c r="J129" s="22"/>
    </row>
    <row r="130">
      <c r="A130" s="19">
        <f>IFERROR(__xludf.DUMMYFUNCTION("""COMPUTED_VALUE"""),44690.0)</f>
        <v>44690</v>
      </c>
      <c r="B130" s="20">
        <f>IFERROR(__xludf.DUMMYFUNCTION("""COMPUTED_VALUE"""),1.1743926249999999)</f>
        <v>1.174392625</v>
      </c>
      <c r="C130" s="21">
        <f>IFERROR(__xludf.DUMMYFUNCTION("""COMPUTED_VALUE"""),1.0150000000000001)</f>
        <v>1.015</v>
      </c>
      <c r="D130" s="21">
        <f>IFERROR(__xludf.DUMMYFUNCTION("""COMPUTED_VALUE"""),1.687141)</f>
        <v>1.687141</v>
      </c>
      <c r="E130" s="20">
        <f>IFERROR(__xludf.DUMMYFUNCTION("""COMPUTED_VALUE"""),0.9609991)</f>
        <v>0.9609991</v>
      </c>
      <c r="F130" s="20">
        <f>IFERROR(__xludf.DUMMYFUNCTION("""COMPUTED_VALUE"""),1.000775967857143)</f>
        <v>1.000775968</v>
      </c>
      <c r="G130" s="20">
        <f>IFERROR(__xludf.DUMMYFUNCTION("""COMPUTED_VALUE"""),0.85957)</f>
        <v>0.85957</v>
      </c>
      <c r="H130" s="23"/>
      <c r="J130" s="22"/>
    </row>
    <row r="131">
      <c r="A131" s="19">
        <f>IFERROR(__xludf.DUMMYFUNCTION("""COMPUTED_VALUE"""),44691.0)</f>
        <v>44691</v>
      </c>
      <c r="B131" s="20">
        <f>IFERROR(__xludf.DUMMYFUNCTION("""COMPUTED_VALUE"""),1.1743926249999999)</f>
        <v>1.174392625</v>
      </c>
      <c r="C131" s="21">
        <f>IFERROR(__xludf.DUMMYFUNCTION("""COMPUTED_VALUE"""),1.0150000000000001)</f>
        <v>1.015</v>
      </c>
      <c r="D131" s="21">
        <f>IFERROR(__xludf.DUMMYFUNCTION("""COMPUTED_VALUE"""),1.687141)</f>
        <v>1.687141</v>
      </c>
      <c r="E131" s="20">
        <f>IFERROR(__xludf.DUMMYFUNCTION("""COMPUTED_VALUE"""),0.8939849999999999)</f>
        <v>0.893985</v>
      </c>
      <c r="F131" s="20">
        <f>IFERROR(__xludf.DUMMYFUNCTION("""COMPUTED_VALUE"""),1.0029098535714287)</f>
        <v>1.002909854</v>
      </c>
      <c r="G131" s="20">
        <f>IFERROR(__xludf.DUMMYFUNCTION("""COMPUTED_VALUE"""),0.85957)</f>
        <v>0.85957</v>
      </c>
      <c r="H131" s="23"/>
      <c r="J131" s="22"/>
    </row>
    <row r="132">
      <c r="A132" s="19">
        <f>IFERROR(__xludf.DUMMYFUNCTION("""COMPUTED_VALUE"""),44692.0)</f>
        <v>44692</v>
      </c>
      <c r="B132" s="20">
        <f>IFERROR(__xludf.DUMMYFUNCTION("""COMPUTED_VALUE"""),1.1743926249999999)</f>
        <v>1.174392625</v>
      </c>
      <c r="C132" s="21">
        <f>IFERROR(__xludf.DUMMYFUNCTION("""COMPUTED_VALUE"""),1.0150000000000001)</f>
        <v>1.015</v>
      </c>
      <c r="D132" s="21">
        <f>IFERROR(__xludf.DUMMYFUNCTION("""COMPUTED_VALUE"""),1.687141)</f>
        <v>1.687141</v>
      </c>
      <c r="E132" s="20">
        <f>IFERROR(__xludf.DUMMYFUNCTION("""COMPUTED_VALUE"""),0.8926582)</f>
        <v>0.8926582</v>
      </c>
      <c r="F132" s="20">
        <f>IFERROR(__xludf.DUMMYFUNCTION("""COMPUTED_VALUE"""),0.9943437392857142)</f>
        <v>0.9943437393</v>
      </c>
      <c r="G132" s="20">
        <f>IFERROR(__xludf.DUMMYFUNCTION("""COMPUTED_VALUE"""),0.85957)</f>
        <v>0.85957</v>
      </c>
      <c r="H132" s="23"/>
      <c r="J132" s="22"/>
    </row>
    <row r="133">
      <c r="A133" s="19">
        <f>IFERROR(__xludf.DUMMYFUNCTION("""COMPUTED_VALUE"""),44693.0)</f>
        <v>44693</v>
      </c>
      <c r="B133" s="20">
        <f>IFERROR(__xludf.DUMMYFUNCTION("""COMPUTED_VALUE"""),1.1743926249999999)</f>
        <v>1.174392625</v>
      </c>
      <c r="C133" s="21">
        <f>IFERROR(__xludf.DUMMYFUNCTION("""COMPUTED_VALUE"""),1.0150000000000001)</f>
        <v>1.015</v>
      </c>
      <c r="D133" s="21">
        <f>IFERROR(__xludf.DUMMYFUNCTION("""COMPUTED_VALUE"""),1.687141)</f>
        <v>1.687141</v>
      </c>
      <c r="E133" s="20">
        <f>IFERROR(__xludf.DUMMYFUNCTION("""COMPUTED_VALUE"""),1.0326677)</f>
        <v>1.0326677</v>
      </c>
      <c r="F133" s="20">
        <f>IFERROR(__xludf.DUMMYFUNCTION("""COMPUTED_VALUE"""),0.9966331571428569)</f>
        <v>0.9966331571</v>
      </c>
      <c r="G133" s="20">
        <f>IFERROR(__xludf.DUMMYFUNCTION("""COMPUTED_VALUE"""),0.85957)</f>
        <v>0.85957</v>
      </c>
      <c r="H133" s="23"/>
      <c r="J133" s="22"/>
    </row>
    <row r="134">
      <c r="A134" s="19">
        <f>IFERROR(__xludf.DUMMYFUNCTION("""COMPUTED_VALUE"""),44694.0)</f>
        <v>44694</v>
      </c>
      <c r="B134" s="20">
        <f>IFERROR(__xludf.DUMMYFUNCTION("""COMPUTED_VALUE"""),1.1743926249999999)</f>
        <v>1.174392625</v>
      </c>
      <c r="C134" s="21">
        <f>IFERROR(__xludf.DUMMYFUNCTION("""COMPUTED_VALUE"""),1.0150000000000001)</f>
        <v>1.015</v>
      </c>
      <c r="D134" s="21">
        <f>IFERROR(__xludf.DUMMYFUNCTION("""COMPUTED_VALUE"""),1.687141)</f>
        <v>1.687141</v>
      </c>
      <c r="E134" s="20">
        <f>IFERROR(__xludf.DUMMYFUNCTION("""COMPUTED_VALUE"""),0.9907772)</f>
        <v>0.9907772</v>
      </c>
      <c r="F134" s="20">
        <f>IFERROR(__xludf.DUMMYFUNCTION("""COMPUTED_VALUE"""),0.9940884678571429)</f>
        <v>0.9940884679</v>
      </c>
      <c r="G134" s="20">
        <f>IFERROR(__xludf.DUMMYFUNCTION("""COMPUTED_VALUE"""),0.85957)</f>
        <v>0.85957</v>
      </c>
      <c r="H134" s="23"/>
      <c r="J134" s="22"/>
    </row>
    <row r="135">
      <c r="A135" s="19">
        <f>IFERROR(__xludf.DUMMYFUNCTION("""COMPUTED_VALUE"""),44695.0)</f>
        <v>44695</v>
      </c>
      <c r="B135" s="20">
        <f>IFERROR(__xludf.DUMMYFUNCTION("""COMPUTED_VALUE"""),1.1743926249999999)</f>
        <v>1.174392625</v>
      </c>
      <c r="C135" s="21">
        <f>IFERROR(__xludf.DUMMYFUNCTION("""COMPUTED_VALUE"""),1.0150000000000001)</f>
        <v>1.015</v>
      </c>
      <c r="D135" s="21">
        <f>IFERROR(__xludf.DUMMYFUNCTION("""COMPUTED_VALUE"""),1.687141)</f>
        <v>1.687141</v>
      </c>
      <c r="E135" s="20">
        <f>IFERROR(__xludf.DUMMYFUNCTION("""COMPUTED_VALUE"""),0.9545790999999999)</f>
        <v>0.9545791</v>
      </c>
      <c r="F135" s="20">
        <f>IFERROR(__xludf.DUMMYFUNCTION("""COMPUTED_VALUE"""),0.9915437785714286)</f>
        <v>0.9915437786</v>
      </c>
      <c r="G135" s="20">
        <f>IFERROR(__xludf.DUMMYFUNCTION("""COMPUTED_VALUE"""),0.85957)</f>
        <v>0.85957</v>
      </c>
      <c r="H135" s="23"/>
      <c r="J135" s="22"/>
    </row>
    <row r="136">
      <c r="A136" s="19">
        <f>IFERROR(__xludf.DUMMYFUNCTION("""COMPUTED_VALUE"""),44696.0)</f>
        <v>44696</v>
      </c>
      <c r="B136" s="20">
        <f>IFERROR(__xludf.DUMMYFUNCTION("""COMPUTED_VALUE"""),1.1743926249999999)</f>
        <v>1.174392625</v>
      </c>
      <c r="C136" s="21">
        <f>IFERROR(__xludf.DUMMYFUNCTION("""COMPUTED_VALUE"""),1.0150000000000001)</f>
        <v>1.015</v>
      </c>
      <c r="D136" s="21">
        <f>IFERROR(__xludf.DUMMYFUNCTION("""COMPUTED_VALUE"""),1.687141)</f>
        <v>1.687141</v>
      </c>
      <c r="E136" s="20">
        <f>IFERROR(__xludf.DUMMYFUNCTION("""COMPUTED_VALUE"""),0.9383579)</f>
        <v>0.9383579</v>
      </c>
      <c r="F136" s="20">
        <f>IFERROR(__xludf.DUMMYFUNCTION("""COMPUTED_VALUE"""),0.9889990892857143)</f>
        <v>0.9889990893</v>
      </c>
      <c r="G136" s="20">
        <f>IFERROR(__xludf.DUMMYFUNCTION("""COMPUTED_VALUE"""),0.85957)</f>
        <v>0.85957</v>
      </c>
      <c r="H136" s="23"/>
      <c r="J136" s="22"/>
    </row>
    <row r="137">
      <c r="A137" s="19">
        <f>IFERROR(__xludf.DUMMYFUNCTION("""COMPUTED_VALUE"""),44697.0)</f>
        <v>44697</v>
      </c>
      <c r="B137" s="20">
        <f>IFERROR(__xludf.DUMMYFUNCTION("""COMPUTED_VALUE"""),1.180642625)</f>
        <v>1.180642625</v>
      </c>
      <c r="C137" s="21">
        <f>IFERROR(__xludf.DUMMYFUNCTION("""COMPUTED_VALUE"""),1.0150000000000001)</f>
        <v>1.015</v>
      </c>
      <c r="D137" s="21">
        <f>IFERROR(__xludf.DUMMYFUNCTION("""COMPUTED_VALUE"""),1.687141)</f>
        <v>1.687141</v>
      </c>
      <c r="E137" s="20">
        <f>IFERROR(__xludf.DUMMYFUNCTION("""COMPUTED_VALUE"""),1.0318224)</f>
        <v>1.0318224</v>
      </c>
      <c r="F137" s="20">
        <f>IFERROR(__xludf.DUMMYFUNCTION("""COMPUTED_VALUE"""),0.9905356857142859)</f>
        <v>0.9905356857</v>
      </c>
      <c r="G137" s="20">
        <f>IFERROR(__xludf.DUMMYFUNCTION("""COMPUTED_VALUE"""),0.85957)</f>
        <v>0.85957</v>
      </c>
      <c r="H137" s="23"/>
      <c r="J137" s="22"/>
    </row>
    <row r="138">
      <c r="A138" s="19">
        <f>IFERROR(__xludf.DUMMYFUNCTION("""COMPUTED_VALUE"""),44698.0)</f>
        <v>44698</v>
      </c>
      <c r="B138" s="20">
        <f>IFERROR(__xludf.DUMMYFUNCTION("""COMPUTED_VALUE"""),1.180642625)</f>
        <v>1.180642625</v>
      </c>
      <c r="C138" s="21">
        <f>IFERROR(__xludf.DUMMYFUNCTION("""COMPUTED_VALUE"""),1.0150000000000001)</f>
        <v>1.015</v>
      </c>
      <c r="D138" s="21">
        <f>IFERROR(__xludf.DUMMYFUNCTION("""COMPUTED_VALUE"""),1.687141)</f>
        <v>1.687141</v>
      </c>
      <c r="E138" s="20">
        <f>IFERROR(__xludf.DUMMYFUNCTION("""COMPUTED_VALUE"""),1.0006104999999998)</f>
        <v>1.0006105</v>
      </c>
      <c r="F138" s="20">
        <f>IFERROR(__xludf.DUMMYFUNCTION("""COMPUTED_VALUE"""),0.992004642857143)</f>
        <v>0.9920046429</v>
      </c>
      <c r="G138" s="20">
        <f>IFERROR(__xludf.DUMMYFUNCTION("""COMPUTED_VALUE"""),0.85957)</f>
        <v>0.85957</v>
      </c>
      <c r="H138" s="23"/>
      <c r="J138" s="22"/>
    </row>
    <row r="139">
      <c r="A139" s="24">
        <f>IFERROR(__xludf.DUMMYFUNCTION("""COMPUTED_VALUE"""),44699.0)</f>
        <v>44699</v>
      </c>
      <c r="B139" s="20">
        <f>IFERROR(__xludf.DUMMYFUNCTION("""COMPUTED_VALUE"""),1.180642625)</f>
        <v>1.180642625</v>
      </c>
      <c r="C139" s="21">
        <f>IFERROR(__xludf.DUMMYFUNCTION("""COMPUTED_VALUE"""),1.0150000000000001)</f>
        <v>1.015</v>
      </c>
      <c r="D139" s="21">
        <f>IFERROR(__xludf.DUMMYFUNCTION("""COMPUTED_VALUE"""),1.687141)</f>
        <v>1.687141</v>
      </c>
      <c r="E139" s="20">
        <f>IFERROR(__xludf.DUMMYFUNCTION("""COMPUTED_VALUE"""),1.0177198)</f>
        <v>1.0177198</v>
      </c>
      <c r="F139" s="20">
        <f>IFERROR(__xludf.DUMMYFUNCTION("""COMPUTED_VALUE"""),0.9951466214285715)</f>
        <v>0.9951466214</v>
      </c>
      <c r="G139" s="20">
        <f>IFERROR(__xludf.DUMMYFUNCTION("""COMPUTED_VALUE"""),0.85957)</f>
        <v>0.85957</v>
      </c>
      <c r="H139" s="23"/>
      <c r="J139" s="22"/>
    </row>
    <row r="140">
      <c r="A140" s="24">
        <f>IFERROR(__xludf.DUMMYFUNCTION("""COMPUTED_VALUE"""),44700.0)</f>
        <v>44700</v>
      </c>
      <c r="B140" s="20">
        <f>IFERROR(__xludf.DUMMYFUNCTION("""COMPUTED_VALUE"""),1.180642625)</f>
        <v>1.180642625</v>
      </c>
      <c r="C140" s="21">
        <f>IFERROR(__xludf.DUMMYFUNCTION("""COMPUTED_VALUE"""),1.0150000000000001)</f>
        <v>1.015</v>
      </c>
      <c r="D140" s="21">
        <f>IFERROR(__xludf.DUMMYFUNCTION("""COMPUTED_VALUE"""),1.687141)</f>
        <v>1.687141</v>
      </c>
      <c r="E140" s="20">
        <f>IFERROR(__xludf.DUMMYFUNCTION("""COMPUTED_VALUE"""),1.0003002)</f>
        <v>1.0003002</v>
      </c>
      <c r="F140" s="20">
        <f>IFERROR(__xludf.DUMMYFUNCTION("""COMPUTED_VALUE"""),0.9792941892857142)</f>
        <v>0.9792941893</v>
      </c>
      <c r="G140" s="20">
        <f>IFERROR(__xludf.DUMMYFUNCTION("""COMPUTED_VALUE"""),0.85957)</f>
        <v>0.85957</v>
      </c>
      <c r="H140" s="23"/>
      <c r="J140" s="22"/>
    </row>
    <row r="141">
      <c r="A141" s="24">
        <f>IFERROR(__xludf.DUMMYFUNCTION("""COMPUTED_VALUE"""),44701.0)</f>
        <v>44701</v>
      </c>
      <c r="B141" s="20">
        <f>IFERROR(__xludf.DUMMYFUNCTION("""COMPUTED_VALUE"""),1.180642625)</f>
        <v>1.180642625</v>
      </c>
      <c r="C141" s="21">
        <f>IFERROR(__xludf.DUMMYFUNCTION("""COMPUTED_VALUE"""),1.0150000000000001)</f>
        <v>1.015</v>
      </c>
      <c r="D141" s="21">
        <f>IFERROR(__xludf.DUMMYFUNCTION("""COMPUTED_VALUE"""),1.687141)</f>
        <v>1.687141</v>
      </c>
      <c r="E141" s="20">
        <f>IFERROR(__xludf.DUMMYFUNCTION("""COMPUTED_VALUE"""),0.9534341999999999)</f>
        <v>0.9534342</v>
      </c>
      <c r="F141" s="20">
        <f>IFERROR(__xludf.DUMMYFUNCTION("""COMPUTED_VALUE"""),0.9693833142857142)</f>
        <v>0.9693833143</v>
      </c>
      <c r="G141" s="20">
        <f>IFERROR(__xludf.DUMMYFUNCTION("""COMPUTED_VALUE"""),0.85957)</f>
        <v>0.85957</v>
      </c>
      <c r="H141" s="23"/>
      <c r="J141" s="22"/>
    </row>
    <row r="142">
      <c r="A142" s="24">
        <f>IFERROR(__xludf.DUMMYFUNCTION("""COMPUTED_VALUE"""),44702.0)</f>
        <v>44702</v>
      </c>
      <c r="B142" s="20">
        <f>IFERROR(__xludf.DUMMYFUNCTION("""COMPUTED_VALUE"""),1.180642625)</f>
        <v>1.180642625</v>
      </c>
      <c r="C142" s="21">
        <f>IFERROR(__xludf.DUMMYFUNCTION("""COMPUTED_VALUE"""),1.0150000000000001)</f>
        <v>1.015</v>
      </c>
      <c r="D142" s="21">
        <f>IFERROR(__xludf.DUMMYFUNCTION("""COMPUTED_VALUE"""),1.687141)</f>
        <v>1.687141</v>
      </c>
      <c r="E142" s="20">
        <f>IFERROR(__xludf.DUMMYFUNCTION("""COMPUTED_VALUE"""),0.8460061999999999)</f>
        <v>0.8460062</v>
      </c>
      <c r="F142" s="20">
        <f>IFERROR(__xludf.DUMMYFUNCTION("""COMPUTED_VALUE"""),0.9594724392857142)</f>
        <v>0.9594724393</v>
      </c>
      <c r="G142" s="20">
        <f>IFERROR(__xludf.DUMMYFUNCTION("""COMPUTED_VALUE"""),0.85957)</f>
        <v>0.85957</v>
      </c>
      <c r="H142" s="23"/>
      <c r="J142" s="22"/>
    </row>
    <row r="143">
      <c r="A143" s="24">
        <f>IFERROR(__xludf.DUMMYFUNCTION("""COMPUTED_VALUE"""),44703.0)</f>
        <v>44703</v>
      </c>
      <c r="B143" s="20">
        <f>IFERROR(__xludf.DUMMYFUNCTION("""COMPUTED_VALUE"""),1.180642625)</f>
        <v>1.180642625</v>
      </c>
      <c r="C143" s="21">
        <f>IFERROR(__xludf.DUMMYFUNCTION("""COMPUTED_VALUE"""),1.0150000000000001)</f>
        <v>1.015</v>
      </c>
      <c r="D143" s="21">
        <f>IFERROR(__xludf.DUMMYFUNCTION("""COMPUTED_VALUE"""),1.687141)</f>
        <v>1.687141</v>
      </c>
      <c r="E143" s="20">
        <f>IFERROR(__xludf.DUMMYFUNCTION("""COMPUTED_VALUE"""),0.8398216)</f>
        <v>0.8398216</v>
      </c>
      <c r="F143" s="20">
        <f>IFERROR(__xludf.DUMMYFUNCTION("""COMPUTED_VALUE"""),0.9495615642857145)</f>
        <v>0.9495615643</v>
      </c>
      <c r="G143" s="20">
        <f>IFERROR(__xludf.DUMMYFUNCTION("""COMPUTED_VALUE"""),0.85957)</f>
        <v>0.85957</v>
      </c>
      <c r="H143" s="23"/>
      <c r="J143" s="22"/>
    </row>
    <row r="144">
      <c r="A144" s="24">
        <f>IFERROR(__xludf.DUMMYFUNCTION("""COMPUTED_VALUE"""),44704.0)</f>
        <v>44704</v>
      </c>
      <c r="B144" s="20">
        <f>IFERROR(__xludf.DUMMYFUNCTION("""COMPUTED_VALUE"""),1.1908401176470587)</f>
        <v>1.190840118</v>
      </c>
      <c r="C144" s="21">
        <f>IFERROR(__xludf.DUMMYFUNCTION("""COMPUTED_VALUE"""),1.0150000000000001)</f>
        <v>1.015</v>
      </c>
      <c r="D144" s="21">
        <f>IFERROR(__xludf.DUMMYFUNCTION("""COMPUTED_VALUE"""),1.7125)</f>
        <v>1.7125</v>
      </c>
      <c r="E144" s="20">
        <f>IFERROR(__xludf.DUMMYFUNCTION("""COMPUTED_VALUE"""),0.8793795)</f>
        <v>0.8793795</v>
      </c>
      <c r="F144" s="20">
        <f>IFERROR(__xludf.DUMMYFUNCTION("""COMPUTED_VALUE"""),0.9399953821428572)</f>
        <v>0.9399953821</v>
      </c>
      <c r="G144" s="20">
        <f>IFERROR(__xludf.DUMMYFUNCTION("""COMPUTED_VALUE"""),0.85957)</f>
        <v>0.85957</v>
      </c>
      <c r="H144" s="23"/>
      <c r="J144" s="22"/>
    </row>
    <row r="145">
      <c r="A145" s="24">
        <f>IFERROR(__xludf.DUMMYFUNCTION("""COMPUTED_VALUE"""),44705.0)</f>
        <v>44705</v>
      </c>
      <c r="B145" s="20">
        <f>IFERROR(__xludf.DUMMYFUNCTION("""COMPUTED_VALUE"""),1.1908401176470587)</f>
        <v>1.190840118</v>
      </c>
      <c r="C145" s="21">
        <f>IFERROR(__xludf.DUMMYFUNCTION("""COMPUTED_VALUE"""),1.0150000000000001)</f>
        <v>1.015</v>
      </c>
      <c r="D145" s="21">
        <f>IFERROR(__xludf.DUMMYFUNCTION("""COMPUTED_VALUE"""),1.7125)</f>
        <v>1.7125</v>
      </c>
      <c r="E145" s="20">
        <f>IFERROR(__xludf.DUMMYFUNCTION("""COMPUTED_VALUE"""),0.9033153999999999)</f>
        <v>0.9033154</v>
      </c>
      <c r="F145" s="20">
        <f>IFERROR(__xludf.DUMMYFUNCTION("""COMPUTED_VALUE"""),0.9278554678571428)</f>
        <v>0.9278554679</v>
      </c>
      <c r="G145" s="20">
        <f>IFERROR(__xludf.DUMMYFUNCTION("""COMPUTED_VALUE"""),0.85957)</f>
        <v>0.85957</v>
      </c>
      <c r="H145" s="23"/>
      <c r="J145" s="22"/>
    </row>
    <row r="146">
      <c r="A146" s="24">
        <f>IFERROR(__xludf.DUMMYFUNCTION("""COMPUTED_VALUE"""),44706.0)</f>
        <v>44706</v>
      </c>
      <c r="B146" s="20">
        <f>IFERROR(__xludf.DUMMYFUNCTION("""COMPUTED_VALUE"""),1.1908401176470587)</f>
        <v>1.190840118</v>
      </c>
      <c r="C146" s="21">
        <f>IFERROR(__xludf.DUMMYFUNCTION("""COMPUTED_VALUE"""),1.0150000000000001)</f>
        <v>1.015</v>
      </c>
      <c r="D146" s="21">
        <f>IFERROR(__xludf.DUMMYFUNCTION("""COMPUTED_VALUE"""),1.7125)</f>
        <v>1.7125</v>
      </c>
      <c r="E146" s="20">
        <f>IFERROR(__xludf.DUMMYFUNCTION("""COMPUTED_VALUE"""),0.9314456999999999)</f>
        <v>0.9314457</v>
      </c>
      <c r="F146" s="20">
        <f>IFERROR(__xludf.DUMMYFUNCTION("""COMPUTED_VALUE"""),0.9230805928571427)</f>
        <v>0.9230805929</v>
      </c>
      <c r="G146" s="20">
        <f>IFERROR(__xludf.DUMMYFUNCTION("""COMPUTED_VALUE"""),0.85957)</f>
        <v>0.85957</v>
      </c>
      <c r="H146" s="23"/>
      <c r="J146" s="22"/>
    </row>
    <row r="147">
      <c r="A147" s="24">
        <f>IFERROR(__xludf.DUMMYFUNCTION("""COMPUTED_VALUE"""),44707.0)</f>
        <v>44707</v>
      </c>
      <c r="B147" s="20">
        <f>IFERROR(__xludf.DUMMYFUNCTION("""COMPUTED_VALUE"""),1.1908401176470587)</f>
        <v>1.190840118</v>
      </c>
      <c r="C147" s="21">
        <f>IFERROR(__xludf.DUMMYFUNCTION("""COMPUTED_VALUE"""),1.0150000000000001)</f>
        <v>1.015</v>
      </c>
      <c r="D147" s="21">
        <f>IFERROR(__xludf.DUMMYFUNCTION("""COMPUTED_VALUE"""),1.7125)</f>
        <v>1.7125</v>
      </c>
      <c r="E147" s="20">
        <f>IFERROR(__xludf.DUMMYFUNCTION("""COMPUTED_VALUE"""),0.9010148999999998)</f>
        <v>0.9010149</v>
      </c>
      <c r="F147" s="20">
        <f>IFERROR(__xludf.DUMMYFUNCTION("""COMPUTED_VALUE"""),0.9218749321428571)</f>
        <v>0.9218749321</v>
      </c>
      <c r="G147" s="20">
        <f>IFERROR(__xludf.DUMMYFUNCTION("""COMPUTED_VALUE"""),0.85957)</f>
        <v>0.85957</v>
      </c>
      <c r="H147" s="23"/>
      <c r="J147" s="22"/>
    </row>
    <row r="148">
      <c r="A148" s="24">
        <f>IFERROR(__xludf.DUMMYFUNCTION("""COMPUTED_VALUE"""),44708.0)</f>
        <v>44708</v>
      </c>
      <c r="B148" s="20">
        <f>IFERROR(__xludf.DUMMYFUNCTION("""COMPUTED_VALUE"""),1.1908401176470587)</f>
        <v>1.190840118</v>
      </c>
      <c r="C148" s="21">
        <f>IFERROR(__xludf.DUMMYFUNCTION("""COMPUTED_VALUE"""),1.0150000000000001)</f>
        <v>1.015</v>
      </c>
      <c r="D148" s="21">
        <f>IFERROR(__xludf.DUMMYFUNCTION("""COMPUTED_VALUE"""),1.7125)</f>
        <v>1.7125</v>
      </c>
      <c r="E148" s="20">
        <f>IFERROR(__xludf.DUMMYFUNCTION("""COMPUTED_VALUE"""),0.8387301999999999)</f>
        <v>0.8387302</v>
      </c>
      <c r="F148" s="20">
        <f>IFERROR(__xludf.DUMMYFUNCTION("""COMPUTED_VALUE"""),0.92832665)</f>
        <v>0.92832665</v>
      </c>
      <c r="G148" s="20">
        <f>IFERROR(__xludf.DUMMYFUNCTION("""COMPUTED_VALUE"""),0.85957)</f>
        <v>0.85957</v>
      </c>
      <c r="H148" s="23"/>
      <c r="J148" s="22"/>
    </row>
    <row r="149">
      <c r="A149" s="24">
        <f>IFERROR(__xludf.DUMMYFUNCTION("""COMPUTED_VALUE"""),44709.0)</f>
        <v>44709</v>
      </c>
      <c r="B149" s="20">
        <f>IFERROR(__xludf.DUMMYFUNCTION("""COMPUTED_VALUE"""),1.1908401176470587)</f>
        <v>1.190840118</v>
      </c>
      <c r="C149" s="21">
        <f>IFERROR(__xludf.DUMMYFUNCTION("""COMPUTED_VALUE"""),1.0150000000000001)</f>
        <v>1.015</v>
      </c>
      <c r="D149" s="21">
        <f>IFERROR(__xludf.DUMMYFUNCTION("""COMPUTED_VALUE"""),1.7125)</f>
        <v>1.7125</v>
      </c>
      <c r="E149" s="20">
        <f>IFERROR(__xludf.DUMMYFUNCTION("""COMPUTED_VALUE"""),0.9196970999999999)</f>
        <v>0.9196971</v>
      </c>
      <c r="F149" s="20">
        <f>IFERROR(__xludf.DUMMYFUNCTION("""COMPUTED_VALUE"""),0.9347783678571429)</f>
        <v>0.9347783679</v>
      </c>
      <c r="G149" s="20">
        <f>IFERROR(__xludf.DUMMYFUNCTION("""COMPUTED_VALUE"""),0.85957)</f>
        <v>0.85957</v>
      </c>
      <c r="H149" s="23"/>
      <c r="J149" s="22"/>
    </row>
    <row r="150">
      <c r="A150" s="24">
        <f>IFERROR(__xludf.DUMMYFUNCTION("""COMPUTED_VALUE"""),44710.0)</f>
        <v>44710</v>
      </c>
      <c r="B150" s="20">
        <f>IFERROR(__xludf.DUMMYFUNCTION("""COMPUTED_VALUE"""),1.1908401176470587)</f>
        <v>1.190840118</v>
      </c>
      <c r="C150" s="21">
        <f>IFERROR(__xludf.DUMMYFUNCTION("""COMPUTED_VALUE"""),1.0150000000000001)</f>
        <v>1.015</v>
      </c>
      <c r="D150" s="21">
        <f>IFERROR(__xludf.DUMMYFUNCTION("""COMPUTED_VALUE"""),1.7125)</f>
        <v>1.7125</v>
      </c>
      <c r="E150" s="20">
        <f>IFERROR(__xludf.DUMMYFUNCTION("""COMPUTED_VALUE"""),0.9048027000000001)</f>
        <v>0.9048027</v>
      </c>
      <c r="F150" s="20">
        <f>IFERROR(__xludf.DUMMYFUNCTION("""COMPUTED_VALUE"""),0.9412300857142857)</f>
        <v>0.9412300857</v>
      </c>
      <c r="G150" s="20">
        <f>IFERROR(__xludf.DUMMYFUNCTION("""COMPUTED_VALUE"""),0.85957)</f>
        <v>0.85957</v>
      </c>
      <c r="H150" s="23"/>
      <c r="J150" s="22"/>
    </row>
    <row r="151">
      <c r="A151" s="24">
        <f>IFERROR(__xludf.DUMMYFUNCTION("""COMPUTED_VALUE"""),44711.0)</f>
        <v>44711</v>
      </c>
      <c r="B151" s="20">
        <f>IFERROR(__xludf.DUMMYFUNCTION("""COMPUTED_VALUE"""),1.1785156666666667)</f>
        <v>1.178515667</v>
      </c>
      <c r="C151" s="21">
        <f>IFERROR(__xludf.DUMMYFUNCTION("""COMPUTED_VALUE"""),0.994)</f>
        <v>0.994</v>
      </c>
      <c r="D151" s="21">
        <f>IFERROR(__xludf.DUMMYFUNCTION("""COMPUTED_VALUE"""),1.7125)</f>
        <v>1.7125</v>
      </c>
      <c r="E151" s="20">
        <f>IFERROR(__xludf.DUMMYFUNCTION("""COMPUTED_VALUE"""),0.9739781999999999)</f>
        <v>0.9739782</v>
      </c>
      <c r="F151" s="20">
        <f>IFERROR(__xludf.DUMMYFUNCTION("""COMPUTED_VALUE"""),0.9523477678571428)</f>
        <v>0.9523477679</v>
      </c>
      <c r="G151" s="20">
        <f>IFERROR(__xludf.DUMMYFUNCTION("""COMPUTED_VALUE"""),0.85957)</f>
        <v>0.85957</v>
      </c>
      <c r="H151" s="23"/>
      <c r="J151" s="22"/>
    </row>
    <row r="152">
      <c r="A152" s="24">
        <f>IFERROR(__xludf.DUMMYFUNCTION("""COMPUTED_VALUE"""),44712.0)</f>
        <v>44712</v>
      </c>
      <c r="B152" s="20">
        <f>IFERROR(__xludf.DUMMYFUNCTION("""COMPUTED_VALUE"""),1.1785156666666667)</f>
        <v>1.178515667</v>
      </c>
      <c r="C152" s="21">
        <f>IFERROR(__xludf.DUMMYFUNCTION("""COMPUTED_VALUE"""),0.994)</f>
        <v>0.994</v>
      </c>
      <c r="D152" s="21">
        <f>IFERROR(__xludf.DUMMYFUNCTION("""COMPUTED_VALUE"""),1.7125)</f>
        <v>1.7125</v>
      </c>
      <c r="E152" s="20">
        <f>IFERROR(__xludf.DUMMYFUNCTION("""COMPUTED_VALUE"""),0.9798739)</f>
        <v>0.9798739</v>
      </c>
      <c r="F152" s="20">
        <f>IFERROR(__xludf.DUMMYFUNCTION("""COMPUTED_VALUE"""),0.9643279464285713)</f>
        <v>0.9643279464</v>
      </c>
      <c r="G152" s="20">
        <f>IFERROR(__xludf.DUMMYFUNCTION("""COMPUTED_VALUE"""),0.85957)</f>
        <v>0.85957</v>
      </c>
      <c r="H152" s="23"/>
      <c r="J152" s="22"/>
    </row>
    <row r="153">
      <c r="A153" s="24">
        <f>IFERROR(__xludf.DUMMYFUNCTION("""COMPUTED_VALUE"""),44713.0)</f>
        <v>44713</v>
      </c>
      <c r="B153" s="20">
        <f>IFERROR(__xludf.DUMMYFUNCTION("""COMPUTED_VALUE"""),1.1785156666666667)</f>
        <v>1.178515667</v>
      </c>
      <c r="C153" s="21">
        <f>IFERROR(__xludf.DUMMYFUNCTION("""COMPUTED_VALUE"""),0.994)</f>
        <v>0.994</v>
      </c>
      <c r="D153" s="21">
        <f>IFERROR(__xludf.DUMMYFUNCTION("""COMPUTED_VALUE"""),1.7125)</f>
        <v>1.7125</v>
      </c>
      <c r="E153" s="20">
        <f>IFERROR(__xludf.DUMMYFUNCTION("""COMPUTED_VALUE"""),0.8883996000000001)</f>
        <v>0.8883996</v>
      </c>
      <c r="F153" s="20">
        <f>IFERROR(__xludf.DUMMYFUNCTION("""COMPUTED_VALUE"""),0.963752057142857)</f>
        <v>0.9637520571</v>
      </c>
      <c r="G153" s="20">
        <f>IFERROR(__xludf.DUMMYFUNCTION("""COMPUTED_VALUE"""),0.85957)</f>
        <v>0.85957</v>
      </c>
      <c r="H153" s="23"/>
      <c r="J153" s="22"/>
    </row>
    <row r="154">
      <c r="A154" s="24">
        <f>IFERROR(__xludf.DUMMYFUNCTION("""COMPUTED_VALUE"""),44714.0)</f>
        <v>44714</v>
      </c>
      <c r="B154" s="20">
        <f>IFERROR(__xludf.DUMMYFUNCTION("""COMPUTED_VALUE"""),1.1785156666666667)</f>
        <v>1.178515667</v>
      </c>
      <c r="C154" s="21">
        <f>IFERROR(__xludf.DUMMYFUNCTION("""COMPUTED_VALUE"""),0.994)</f>
        <v>0.994</v>
      </c>
      <c r="D154" s="21">
        <f>IFERROR(__xludf.DUMMYFUNCTION("""COMPUTED_VALUE"""),1.7125)</f>
        <v>1.7125</v>
      </c>
      <c r="E154" s="20">
        <f>IFERROR(__xludf.DUMMYFUNCTION("""COMPUTED_VALUE"""),0.8248844)</f>
        <v>0.8248844</v>
      </c>
      <c r="F154" s="20">
        <f>IFERROR(__xludf.DUMMYFUNCTION("""COMPUTED_VALUE"""),0.9656107999999998)</f>
        <v>0.9656108</v>
      </c>
      <c r="G154" s="20">
        <f>IFERROR(__xludf.DUMMYFUNCTION("""COMPUTED_VALUE"""),0.85957)</f>
        <v>0.85957</v>
      </c>
      <c r="H154" s="23"/>
      <c r="J154" s="22"/>
    </row>
    <row r="155">
      <c r="A155" s="24">
        <f>IFERROR(__xludf.DUMMYFUNCTION("""COMPUTED_VALUE"""),44715.0)</f>
        <v>44715</v>
      </c>
      <c r="B155" s="20">
        <f>IFERROR(__xludf.DUMMYFUNCTION("""COMPUTED_VALUE"""),1.1785156666666667)</f>
        <v>1.178515667</v>
      </c>
      <c r="C155" s="21">
        <f>IFERROR(__xludf.DUMMYFUNCTION("""COMPUTED_VALUE"""),0.994)</f>
        <v>0.994</v>
      </c>
      <c r="D155" s="21">
        <f>IFERROR(__xludf.DUMMYFUNCTION("""COMPUTED_VALUE"""),1.7125)</f>
        <v>1.7125</v>
      </c>
      <c r="E155" s="20">
        <f>IFERROR(__xludf.DUMMYFUNCTION("""COMPUTED_VALUE"""),0.8324921)</f>
        <v>0.8324921</v>
      </c>
      <c r="F155" s="20">
        <f>IFERROR(__xludf.DUMMYFUNCTION("""COMPUTED_VALUE"""),0.9613330928571429)</f>
        <v>0.9613330929</v>
      </c>
      <c r="G155" s="20">
        <f>IFERROR(__xludf.DUMMYFUNCTION("""COMPUTED_VALUE"""),0.85957)</f>
        <v>0.85957</v>
      </c>
      <c r="H155" s="23"/>
      <c r="J155" s="22"/>
    </row>
    <row r="156">
      <c r="A156" s="24">
        <f>IFERROR(__xludf.DUMMYFUNCTION("""COMPUTED_VALUE"""),44716.0)</f>
        <v>44716</v>
      </c>
      <c r="B156" s="20">
        <f>IFERROR(__xludf.DUMMYFUNCTION("""COMPUTED_VALUE"""),1.1785156666666667)</f>
        <v>1.178515667</v>
      </c>
      <c r="C156" s="21">
        <f>IFERROR(__xludf.DUMMYFUNCTION("""COMPUTED_VALUE"""),0.994)</f>
        <v>0.994</v>
      </c>
      <c r="D156" s="21">
        <f>IFERROR(__xludf.DUMMYFUNCTION("""COMPUTED_VALUE"""),1.7125)</f>
        <v>1.7125</v>
      </c>
      <c r="E156" s="20">
        <f>IFERROR(__xludf.DUMMYFUNCTION("""COMPUTED_VALUE"""),0.8434168)</f>
        <v>0.8434168</v>
      </c>
      <c r="F156" s="20">
        <f>IFERROR(__xludf.DUMMYFUNCTION("""COMPUTED_VALUE"""),0.9570553857142858)</f>
        <v>0.9570553857</v>
      </c>
      <c r="G156" s="20">
        <f>IFERROR(__xludf.DUMMYFUNCTION("""COMPUTED_VALUE"""),0.85957)</f>
        <v>0.85957</v>
      </c>
      <c r="H156" s="23"/>
      <c r="J156" s="22"/>
    </row>
    <row r="157">
      <c r="A157" s="24">
        <f>IFERROR(__xludf.DUMMYFUNCTION("""COMPUTED_VALUE"""),44717.0)</f>
        <v>44717</v>
      </c>
      <c r="B157" s="20">
        <f>IFERROR(__xludf.DUMMYFUNCTION("""COMPUTED_VALUE"""),1.1785156666666667)</f>
        <v>1.178515667</v>
      </c>
      <c r="C157" s="21">
        <f>IFERROR(__xludf.DUMMYFUNCTION("""COMPUTED_VALUE"""),0.994)</f>
        <v>0.994</v>
      </c>
      <c r="D157" s="21">
        <f>IFERROR(__xludf.DUMMYFUNCTION("""COMPUTED_VALUE"""),1.7125)</f>
        <v>1.7125</v>
      </c>
      <c r="E157" s="20">
        <f>IFERROR(__xludf.DUMMYFUNCTION("""COMPUTED_VALUE"""),0.8602479000000001)</f>
        <v>0.8602479</v>
      </c>
      <c r="F157" s="20">
        <f>IFERROR(__xludf.DUMMYFUNCTION("""COMPUTED_VALUE"""),0.9527776785714287)</f>
        <v>0.9527776786</v>
      </c>
      <c r="G157" s="20">
        <f>IFERROR(__xludf.DUMMYFUNCTION("""COMPUTED_VALUE"""),0.85957)</f>
        <v>0.85957</v>
      </c>
      <c r="H157" s="23"/>
      <c r="J157" s="22"/>
    </row>
    <row r="158">
      <c r="A158" s="24">
        <f>IFERROR(__xludf.DUMMYFUNCTION("""COMPUTED_VALUE"""),44718.0)</f>
        <v>44718</v>
      </c>
      <c r="B158" s="20">
        <f>IFERROR(__xludf.DUMMYFUNCTION("""COMPUTED_VALUE"""),1.2087287368421051)</f>
        <v>1.208728737</v>
      </c>
      <c r="C158" s="21">
        <f>IFERROR(__xludf.DUMMYFUNCTION("""COMPUTED_VALUE"""),0.9630000000000001)</f>
        <v>0.963</v>
      </c>
      <c r="D158" s="21">
        <f>IFERROR(__xludf.DUMMYFUNCTION("""COMPUTED_VALUE"""),1.7771409999999999)</f>
        <v>1.777141</v>
      </c>
      <c r="E158" s="20">
        <f>IFERROR(__xludf.DUMMYFUNCTION("""COMPUTED_VALUE"""),0.8270565)</f>
        <v>0.8270565</v>
      </c>
      <c r="F158" s="20">
        <f>IFERROR(__xludf.DUMMYFUNCTION("""COMPUTED_VALUE"""),0.9483975571428572)</f>
        <v>0.9483975571</v>
      </c>
      <c r="G158" s="20">
        <f>IFERROR(__xludf.DUMMYFUNCTION("""COMPUTED_VALUE"""),0.85957)</f>
        <v>0.85957</v>
      </c>
      <c r="H158" s="23"/>
      <c r="J158" s="22"/>
    </row>
    <row r="159">
      <c r="A159" s="24">
        <f>IFERROR(__xludf.DUMMYFUNCTION("""COMPUTED_VALUE"""),44719.0)</f>
        <v>44719</v>
      </c>
      <c r="B159" s="20">
        <f>IFERROR(__xludf.DUMMYFUNCTION("""COMPUTED_VALUE"""),1.2087287368421051)</f>
        <v>1.208728737</v>
      </c>
      <c r="C159" s="21">
        <f>IFERROR(__xludf.DUMMYFUNCTION("""COMPUTED_VALUE"""),0.9630000000000001)</f>
        <v>0.963</v>
      </c>
      <c r="D159" s="21">
        <f>IFERROR(__xludf.DUMMYFUNCTION("""COMPUTED_VALUE"""),1.7771409999999999)</f>
        <v>1.777141</v>
      </c>
      <c r="E159" s="20">
        <f>IFERROR(__xludf.DUMMYFUNCTION("""COMPUTED_VALUE"""),0.8218456000000001)</f>
        <v>0.8218456</v>
      </c>
      <c r="F159" s="20">
        <f>IFERROR(__xludf.DUMMYFUNCTION("""COMPUTED_VALUE"""),0.9382447857142857)</f>
        <v>0.9382447857</v>
      </c>
      <c r="G159" s="20">
        <f>IFERROR(__xludf.DUMMYFUNCTION("""COMPUTED_VALUE"""),0.85957)</f>
        <v>0.85957</v>
      </c>
      <c r="H159" s="23"/>
      <c r="J159" s="22"/>
    </row>
    <row r="160">
      <c r="A160" s="24">
        <f>IFERROR(__xludf.DUMMYFUNCTION("""COMPUTED_VALUE"""),44720.0)</f>
        <v>44720</v>
      </c>
      <c r="B160" s="20">
        <f>IFERROR(__xludf.DUMMYFUNCTION("""COMPUTED_VALUE"""),1.2087287368421051)</f>
        <v>1.208728737</v>
      </c>
      <c r="C160" s="21">
        <f>IFERROR(__xludf.DUMMYFUNCTION("""COMPUTED_VALUE"""),0.9630000000000001)</f>
        <v>0.963</v>
      </c>
      <c r="D160" s="21">
        <f>IFERROR(__xludf.DUMMYFUNCTION("""COMPUTED_VALUE"""),1.7771409999999999)</f>
        <v>1.777141</v>
      </c>
      <c r="E160" s="20">
        <f>IFERROR(__xludf.DUMMYFUNCTION("""COMPUTED_VALUE"""),0.8298064)</f>
        <v>0.8298064</v>
      </c>
      <c r="F160" s="20">
        <f>IFERROR(__xludf.DUMMYFUNCTION("""COMPUTED_VALUE"""),0.9340415964285713)</f>
        <v>0.9340415964</v>
      </c>
      <c r="G160" s="20">
        <f>IFERROR(__xludf.DUMMYFUNCTION("""COMPUTED_VALUE"""),0.85957)</f>
        <v>0.85957</v>
      </c>
      <c r="H160" s="23"/>
      <c r="J160" s="22"/>
    </row>
    <row r="161">
      <c r="A161" s="19">
        <f>IFERROR(__xludf.DUMMYFUNCTION("""COMPUTED_VALUE"""),44721.0)</f>
        <v>44721</v>
      </c>
      <c r="B161" s="20">
        <f>IFERROR(__xludf.DUMMYFUNCTION("""COMPUTED_VALUE"""),1.2087287368421051)</f>
        <v>1.208728737</v>
      </c>
      <c r="C161" s="21">
        <f>IFERROR(__xludf.DUMMYFUNCTION("""COMPUTED_VALUE"""),0.9630000000000001)</f>
        <v>0.963</v>
      </c>
      <c r="D161" s="21">
        <f>IFERROR(__xludf.DUMMYFUNCTION("""COMPUTED_VALUE"""),1.7771409999999999)</f>
        <v>1.777141</v>
      </c>
      <c r="E161" s="20">
        <f>IFERROR(__xludf.DUMMYFUNCTION("""COMPUTED_VALUE"""),0.9097675000000001)</f>
        <v>0.9097675</v>
      </c>
      <c r="F161" s="20">
        <f>IFERROR(__xludf.DUMMYFUNCTION("""COMPUTED_VALUE"""),0.9324075535714286)</f>
        <v>0.9324075536</v>
      </c>
      <c r="G161" s="20">
        <f>IFERROR(__xludf.DUMMYFUNCTION("""COMPUTED_VALUE"""),0.85957)</f>
        <v>0.85957</v>
      </c>
      <c r="H161" s="23"/>
      <c r="J161" s="22"/>
    </row>
    <row r="162">
      <c r="A162" s="19">
        <f>IFERROR(__xludf.DUMMYFUNCTION("""COMPUTED_VALUE"""),44722.0)</f>
        <v>44722</v>
      </c>
      <c r="B162" s="20">
        <f>IFERROR(__xludf.DUMMYFUNCTION("""COMPUTED_VALUE"""),1.2087287368421051)</f>
        <v>1.208728737</v>
      </c>
      <c r="C162" s="21">
        <f>IFERROR(__xludf.DUMMYFUNCTION("""COMPUTED_VALUE"""),0.9630000000000001)</f>
        <v>0.963</v>
      </c>
      <c r="D162" s="21">
        <f>IFERROR(__xludf.DUMMYFUNCTION("""COMPUTED_VALUE"""),1.7771409999999999)</f>
        <v>1.777141</v>
      </c>
      <c r="E162" s="20">
        <f>IFERROR(__xludf.DUMMYFUNCTION("""COMPUTED_VALUE"""),0.8709372)</f>
        <v>0.8709372</v>
      </c>
      <c r="F162" s="20">
        <f>IFERROR(__xludf.DUMMYFUNCTION("""COMPUTED_VALUE"""),0.9314514321428572)</f>
        <v>0.9314514321</v>
      </c>
      <c r="G162" s="20">
        <f>IFERROR(__xludf.DUMMYFUNCTION("""COMPUTED_VALUE"""),0.85957)</f>
        <v>0.85957</v>
      </c>
      <c r="H162" s="23"/>
      <c r="J162" s="22"/>
    </row>
    <row r="163">
      <c r="A163" s="19">
        <f>IFERROR(__xludf.DUMMYFUNCTION("""COMPUTED_VALUE"""),44723.0)</f>
        <v>44723</v>
      </c>
      <c r="B163" s="20">
        <f>IFERROR(__xludf.DUMMYFUNCTION("""COMPUTED_VALUE"""),1.2087287368421051)</f>
        <v>1.208728737</v>
      </c>
      <c r="C163" s="21">
        <f>IFERROR(__xludf.DUMMYFUNCTION("""COMPUTED_VALUE"""),0.9630000000000001)</f>
        <v>0.963</v>
      </c>
      <c r="D163" s="21">
        <f>IFERROR(__xludf.DUMMYFUNCTION("""COMPUTED_VALUE"""),1.7771409999999999)</f>
        <v>1.777141</v>
      </c>
      <c r="E163" s="20">
        <f>IFERROR(__xludf.DUMMYFUNCTION("""COMPUTED_VALUE"""),0.7589831)</f>
        <v>0.7589831</v>
      </c>
      <c r="F163" s="20">
        <f>IFERROR(__xludf.DUMMYFUNCTION("""COMPUTED_VALUE"""),0.9304953107142857)</f>
        <v>0.9304953107</v>
      </c>
      <c r="G163" s="20">
        <f>IFERROR(__xludf.DUMMYFUNCTION("""COMPUTED_VALUE"""),0.85957)</f>
        <v>0.85957</v>
      </c>
      <c r="H163" s="23"/>
      <c r="J163" s="22"/>
    </row>
    <row r="164">
      <c r="A164" s="19">
        <f>IFERROR(__xludf.DUMMYFUNCTION("""COMPUTED_VALUE"""),44724.0)</f>
        <v>44724</v>
      </c>
      <c r="B164" s="20">
        <f>IFERROR(__xludf.DUMMYFUNCTION("""COMPUTED_VALUE"""),1.2087287368421051)</f>
        <v>1.208728737</v>
      </c>
      <c r="C164" s="21">
        <f>IFERROR(__xludf.DUMMYFUNCTION("""COMPUTED_VALUE"""),0.9630000000000001)</f>
        <v>0.963</v>
      </c>
      <c r="D164" s="21">
        <f>IFERROR(__xludf.DUMMYFUNCTION("""COMPUTED_VALUE"""),1.7771409999999999)</f>
        <v>1.777141</v>
      </c>
      <c r="E164" s="20">
        <f>IFERROR(__xludf.DUMMYFUNCTION("""COMPUTED_VALUE"""),0.7480584)</f>
        <v>0.7480584</v>
      </c>
      <c r="F164" s="20">
        <f>IFERROR(__xludf.DUMMYFUNCTION("""COMPUTED_VALUE"""),0.9295391892857142)</f>
        <v>0.9295391893</v>
      </c>
      <c r="G164" s="20">
        <f>IFERROR(__xludf.DUMMYFUNCTION("""COMPUTED_VALUE"""),0.85957)</f>
        <v>0.85957</v>
      </c>
      <c r="H164" s="23"/>
      <c r="J164" s="22"/>
    </row>
    <row r="165">
      <c r="A165" s="19">
        <f>IFERROR(__xludf.DUMMYFUNCTION("""COMPUTED_VALUE"""),44725.0)</f>
        <v>44725</v>
      </c>
      <c r="B165" s="20">
        <f>IFERROR(__xludf.DUMMYFUNCTION("""COMPUTED_VALUE"""),1.2118866315789472)</f>
        <v>1.211886632</v>
      </c>
      <c r="C165" s="21">
        <f>IFERROR(__xludf.DUMMYFUNCTION("""COMPUTED_VALUE"""),0.9670000000000001)</f>
        <v>0.967</v>
      </c>
      <c r="D165" s="21">
        <f>IFERROR(__xludf.DUMMYFUNCTION("""COMPUTED_VALUE"""),1.7771409999999999)</f>
        <v>1.777141</v>
      </c>
      <c r="E165" s="20">
        <f>IFERROR(__xludf.DUMMYFUNCTION("""COMPUTED_VALUE"""),0.8340114999999999)</f>
        <v>0.8340115</v>
      </c>
      <c r="F165" s="20">
        <f>IFERROR(__xludf.DUMMYFUNCTION("""COMPUTED_VALUE"""),0.9293916821428571)</f>
        <v>0.9293916821</v>
      </c>
      <c r="G165" s="20">
        <f>IFERROR(__xludf.DUMMYFUNCTION("""COMPUTED_VALUE"""),0.85957)</f>
        <v>0.85957</v>
      </c>
      <c r="H165" s="23"/>
      <c r="J165" s="22"/>
    </row>
    <row r="166">
      <c r="A166" s="19">
        <f>IFERROR(__xludf.DUMMYFUNCTION("""COMPUTED_VALUE"""),44726.0)</f>
        <v>44726</v>
      </c>
      <c r="B166" s="20">
        <f>IFERROR(__xludf.DUMMYFUNCTION("""COMPUTED_VALUE"""),1.2118866315789472)</f>
        <v>1.211886632</v>
      </c>
      <c r="C166" s="21">
        <f>IFERROR(__xludf.DUMMYFUNCTION("""COMPUTED_VALUE"""),0.9670000000000001)</f>
        <v>0.967</v>
      </c>
      <c r="D166" s="21">
        <f>IFERROR(__xludf.DUMMYFUNCTION("""COMPUTED_VALUE"""),1.7771409999999999)</f>
        <v>1.777141</v>
      </c>
      <c r="E166" s="20">
        <f>IFERROR(__xludf.DUMMYFUNCTION("""COMPUTED_VALUE"""),0.9670445999999999)</f>
        <v>0.9670446</v>
      </c>
      <c r="F166" s="20">
        <f>IFERROR(__xludf.DUMMYFUNCTION("""COMPUTED_VALUE"""),0.9449651499999999)</f>
        <v>0.94496515</v>
      </c>
      <c r="G166" s="20">
        <f>IFERROR(__xludf.DUMMYFUNCTION("""COMPUTED_VALUE"""),0.85957)</f>
        <v>0.85957</v>
      </c>
      <c r="H166" s="23"/>
      <c r="J166" s="22"/>
    </row>
    <row r="167">
      <c r="A167" s="19">
        <f>IFERROR(__xludf.DUMMYFUNCTION("""COMPUTED_VALUE"""),44727.0)</f>
        <v>44727</v>
      </c>
      <c r="B167" s="20">
        <f>IFERROR(__xludf.DUMMYFUNCTION("""COMPUTED_VALUE"""),1.2118866315789472)</f>
        <v>1.211886632</v>
      </c>
      <c r="C167" s="21">
        <f>IFERROR(__xludf.DUMMYFUNCTION("""COMPUTED_VALUE"""),0.9670000000000001)</f>
        <v>0.967</v>
      </c>
      <c r="D167" s="21">
        <f>IFERROR(__xludf.DUMMYFUNCTION("""COMPUTED_VALUE"""),1.7771409999999999)</f>
        <v>1.777141</v>
      </c>
      <c r="E167" s="20">
        <f>IFERROR(__xludf.DUMMYFUNCTION("""COMPUTED_VALUE"""),1.1291175)</f>
        <v>1.1291175</v>
      </c>
      <c r="F167" s="20">
        <f>IFERROR(__xludf.DUMMYFUNCTION("""COMPUTED_VALUE"""),0.9891519464285714)</f>
        <v>0.9891519464</v>
      </c>
      <c r="G167" s="20">
        <f>IFERROR(__xludf.DUMMYFUNCTION("""COMPUTED_VALUE"""),0.85957)</f>
        <v>0.85957</v>
      </c>
      <c r="H167" s="23"/>
      <c r="J167" s="22"/>
    </row>
    <row r="168">
      <c r="A168" s="19">
        <f>IFERROR(__xludf.DUMMYFUNCTION("""COMPUTED_VALUE"""),44728.0)</f>
        <v>44728</v>
      </c>
      <c r="B168" s="20">
        <f>IFERROR(__xludf.DUMMYFUNCTION("""COMPUTED_VALUE"""),1.2118866315789472)</f>
        <v>1.211886632</v>
      </c>
      <c r="C168" s="21">
        <f>IFERROR(__xludf.DUMMYFUNCTION("""COMPUTED_VALUE"""),0.9670000000000001)</f>
        <v>0.967</v>
      </c>
      <c r="D168" s="21">
        <f>IFERROR(__xludf.DUMMYFUNCTION("""COMPUTED_VALUE"""),1.7771409999999999)</f>
        <v>1.777141</v>
      </c>
      <c r="E168" s="20">
        <f>IFERROR(__xludf.DUMMYFUNCTION("""COMPUTED_VALUE"""),1.4000200999999999)</f>
        <v>1.4000201</v>
      </c>
      <c r="F168" s="20">
        <f>IFERROR(__xludf.DUMMYFUNCTION("""COMPUTED_VALUE"""),1.0371586428571429)</f>
        <v>1.037158643</v>
      </c>
      <c r="G168" s="20">
        <f>IFERROR(__xludf.DUMMYFUNCTION("""COMPUTED_VALUE"""),0.85957)</f>
        <v>0.85957</v>
      </c>
      <c r="H168" s="23"/>
      <c r="J168" s="22"/>
    </row>
    <row r="169">
      <c r="A169" s="19">
        <f>IFERROR(__xludf.DUMMYFUNCTION("""COMPUTED_VALUE"""),44729.0)</f>
        <v>44729</v>
      </c>
      <c r="B169" s="20">
        <f>IFERROR(__xludf.DUMMYFUNCTION("""COMPUTED_VALUE"""),1.2118866315789472)</f>
        <v>1.211886632</v>
      </c>
      <c r="C169" s="21">
        <f>IFERROR(__xludf.DUMMYFUNCTION("""COMPUTED_VALUE"""),0.9670000000000001)</f>
        <v>0.967</v>
      </c>
      <c r="D169" s="21">
        <f>IFERROR(__xludf.DUMMYFUNCTION("""COMPUTED_VALUE"""),1.7771409999999999)</f>
        <v>1.777141</v>
      </c>
      <c r="E169" s="20">
        <f>IFERROR(__xludf.DUMMYFUNCTION("""COMPUTED_VALUE"""),1.3131789)</f>
        <v>1.3131789</v>
      </c>
      <c r="F169" s="20">
        <f>IFERROR(__xludf.DUMMYFUNCTION("""COMPUTED_VALUE"""),1.0747817535714286)</f>
        <v>1.074781754</v>
      </c>
      <c r="G169" s="20">
        <f>IFERROR(__xludf.DUMMYFUNCTION("""COMPUTED_VALUE"""),0.85957)</f>
        <v>0.85957</v>
      </c>
      <c r="H169" s="23"/>
      <c r="J169" s="22"/>
    </row>
    <row r="170">
      <c r="A170" s="24">
        <f>IFERROR(__xludf.DUMMYFUNCTION("""COMPUTED_VALUE"""),44730.0)</f>
        <v>44730</v>
      </c>
      <c r="B170" s="20">
        <f>IFERROR(__xludf.DUMMYFUNCTION("""COMPUTED_VALUE"""),1.2118866315789472)</f>
        <v>1.211886632</v>
      </c>
      <c r="C170" s="21">
        <f>IFERROR(__xludf.DUMMYFUNCTION("""COMPUTED_VALUE"""),0.9670000000000001)</f>
        <v>0.967</v>
      </c>
      <c r="D170" s="21">
        <f>IFERROR(__xludf.DUMMYFUNCTION("""COMPUTED_VALUE"""),1.7771409999999999)</f>
        <v>1.777141</v>
      </c>
      <c r="E170" s="20">
        <f>IFERROR(__xludf.DUMMYFUNCTION("""COMPUTED_VALUE"""),1.1788297)</f>
        <v>1.1788297</v>
      </c>
      <c r="F170" s="20">
        <f>IFERROR(__xludf.DUMMYFUNCTION("""COMPUTED_VALUE"""),1.1124048642857143)</f>
        <v>1.112404864</v>
      </c>
      <c r="G170" s="20">
        <f>IFERROR(__xludf.DUMMYFUNCTION("""COMPUTED_VALUE"""),0.85957)</f>
        <v>0.85957</v>
      </c>
      <c r="H170" s="23"/>
      <c r="J170" s="22"/>
    </row>
    <row r="171">
      <c r="A171" s="24">
        <f>IFERROR(__xludf.DUMMYFUNCTION("""COMPUTED_VALUE"""),44731.0)</f>
        <v>44731</v>
      </c>
      <c r="B171" s="20">
        <f>IFERROR(__xludf.DUMMYFUNCTION("""COMPUTED_VALUE"""),1.2118866315789472)</f>
        <v>1.211886632</v>
      </c>
      <c r="C171" s="21">
        <f>IFERROR(__xludf.DUMMYFUNCTION("""COMPUTED_VALUE"""),0.9670000000000001)</f>
        <v>0.967</v>
      </c>
      <c r="D171" s="21">
        <f>IFERROR(__xludf.DUMMYFUNCTION("""COMPUTED_VALUE"""),1.7771409999999999)</f>
        <v>1.777141</v>
      </c>
      <c r="E171" s="20">
        <f>IFERROR(__xludf.DUMMYFUNCTION("""COMPUTED_VALUE"""),1.1799532)</f>
        <v>1.1799532</v>
      </c>
      <c r="F171" s="20">
        <f>IFERROR(__xludf.DUMMYFUNCTION("""COMPUTED_VALUE"""),1.150027975)</f>
        <v>1.150027975</v>
      </c>
      <c r="G171" s="20">
        <f>IFERROR(__xludf.DUMMYFUNCTION("""COMPUTED_VALUE"""),0.85957)</f>
        <v>0.85957</v>
      </c>
      <c r="H171" s="23"/>
      <c r="J171" s="22"/>
    </row>
    <row r="172">
      <c r="A172" s="24">
        <f>IFERROR(__xludf.DUMMYFUNCTION("""COMPUTED_VALUE"""),44732.0)</f>
        <v>44732</v>
      </c>
      <c r="B172" s="20">
        <f>IFERROR(__xludf.DUMMYFUNCTION("""COMPUTED_VALUE"""),1.2498866315789474)</f>
        <v>1.249886632</v>
      </c>
      <c r="C172" s="21">
        <f>IFERROR(__xludf.DUMMYFUNCTION("""COMPUTED_VALUE"""),1.0190000000000001)</f>
        <v>1.019</v>
      </c>
      <c r="D172" s="21">
        <f>IFERROR(__xludf.DUMMYFUNCTION("""COMPUTED_VALUE"""),1.7771409999999999)</f>
        <v>1.777141</v>
      </c>
      <c r="E172" s="20">
        <f>IFERROR(__xludf.DUMMYFUNCTION("""COMPUTED_VALUE"""),1.2921748)</f>
        <v>1.2921748</v>
      </c>
      <c r="F172" s="20">
        <f>IFERROR(__xludf.DUMMYFUNCTION("""COMPUTED_VALUE"""),1.192657157142857)</f>
        <v>1.192657157</v>
      </c>
      <c r="G172" s="20">
        <f>IFERROR(__xludf.DUMMYFUNCTION("""COMPUTED_VALUE"""),0.85957)</f>
        <v>0.85957</v>
      </c>
      <c r="H172" s="23"/>
      <c r="J172" s="22"/>
    </row>
    <row r="173">
      <c r="A173" s="24">
        <f>IFERROR(__xludf.DUMMYFUNCTION("""COMPUTED_VALUE"""),44733.0)</f>
        <v>44733</v>
      </c>
      <c r="B173" s="20">
        <f>IFERROR(__xludf.DUMMYFUNCTION("""COMPUTED_VALUE"""),1.2498866315789474)</f>
        <v>1.249886632</v>
      </c>
      <c r="C173" s="21">
        <f>IFERROR(__xludf.DUMMYFUNCTION("""COMPUTED_VALUE"""),1.0190000000000001)</f>
        <v>1.019</v>
      </c>
      <c r="D173" s="21">
        <f>IFERROR(__xludf.DUMMYFUNCTION("""COMPUTED_VALUE"""),1.7771409999999999)</f>
        <v>1.777141</v>
      </c>
      <c r="E173" s="20">
        <f>IFERROR(__xludf.DUMMYFUNCTION("""COMPUTED_VALUE"""),1.3133287)</f>
        <v>1.3133287</v>
      </c>
      <c r="F173" s="20">
        <f>IFERROR(__xludf.DUMMYFUNCTION("""COMPUTED_VALUE"""),1.2284077678571428)</f>
        <v>1.228407768</v>
      </c>
      <c r="G173" s="20">
        <f>IFERROR(__xludf.DUMMYFUNCTION("""COMPUTED_VALUE"""),0.85957)</f>
        <v>0.85957</v>
      </c>
      <c r="H173" s="23"/>
      <c r="J173" s="22"/>
    </row>
    <row r="174">
      <c r="A174" s="24">
        <f>IFERROR(__xludf.DUMMYFUNCTION("""COMPUTED_VALUE"""),44734.0)</f>
        <v>44734</v>
      </c>
      <c r="B174" s="20">
        <f>IFERROR(__xludf.DUMMYFUNCTION("""COMPUTED_VALUE"""),1.2498866315789474)</f>
        <v>1.249886632</v>
      </c>
      <c r="C174" s="21">
        <f>IFERROR(__xludf.DUMMYFUNCTION("""COMPUTED_VALUE"""),1.0190000000000001)</f>
        <v>1.019</v>
      </c>
      <c r="D174" s="21">
        <f>IFERROR(__xludf.DUMMYFUNCTION("""COMPUTED_VALUE"""),1.7771409999999999)</f>
        <v>1.777141</v>
      </c>
      <c r="E174" s="20">
        <f>IFERROR(__xludf.DUMMYFUNCTION("""COMPUTED_VALUE"""),1.3476864)</f>
        <v>1.3476864</v>
      </c>
      <c r="F174" s="20">
        <f>IFERROR(__xludf.DUMMYFUNCTION("""COMPUTED_VALUE"""),1.2419245428571428)</f>
        <v>1.241924543</v>
      </c>
      <c r="G174" s="20">
        <f>IFERROR(__xludf.DUMMYFUNCTION("""COMPUTED_VALUE"""),0.85957)</f>
        <v>0.85957</v>
      </c>
      <c r="H174" s="23"/>
      <c r="J174" s="22"/>
    </row>
    <row r="175">
      <c r="A175" s="24">
        <f>IFERROR(__xludf.DUMMYFUNCTION("""COMPUTED_VALUE"""),44735.0)</f>
        <v>44735</v>
      </c>
      <c r="B175" s="20">
        <f>IFERROR(__xludf.DUMMYFUNCTION("""COMPUTED_VALUE"""),1.2498866315789474)</f>
        <v>1.249886632</v>
      </c>
      <c r="C175" s="21">
        <f>IFERROR(__xludf.DUMMYFUNCTION("""COMPUTED_VALUE"""),1.0190000000000001)</f>
        <v>1.019</v>
      </c>
      <c r="D175" s="21">
        <f>IFERROR(__xludf.DUMMYFUNCTION("""COMPUTED_VALUE"""),1.7771409999999999)</f>
        <v>1.777141</v>
      </c>
      <c r="E175" s="20">
        <f>IFERROR(__xludf.DUMMYFUNCTION("""COMPUTED_VALUE"""),1.3771863)</f>
        <v>1.3771863</v>
      </c>
      <c r="F175" s="20">
        <f>IFERROR(__xludf.DUMMYFUNCTION("""COMPUTED_VALUE"""),1.2577085714285714)</f>
        <v>1.257708571</v>
      </c>
      <c r="G175" s="20">
        <f>IFERROR(__xludf.DUMMYFUNCTION("""COMPUTED_VALUE"""),0.85957)</f>
        <v>0.85957</v>
      </c>
      <c r="H175" s="23"/>
      <c r="J175" s="22"/>
    </row>
    <row r="176">
      <c r="A176" s="24">
        <f>IFERROR(__xludf.DUMMYFUNCTION("""COMPUTED_VALUE"""),44736.0)</f>
        <v>44736</v>
      </c>
      <c r="B176" s="20">
        <f>IFERROR(__xludf.DUMMYFUNCTION("""COMPUTED_VALUE"""),1.2498866315789474)</f>
        <v>1.249886632</v>
      </c>
      <c r="C176" s="21">
        <f>IFERROR(__xludf.DUMMYFUNCTION("""COMPUTED_VALUE"""),1.0190000000000001)</f>
        <v>1.019</v>
      </c>
      <c r="D176" s="21">
        <f>IFERROR(__xludf.DUMMYFUNCTION("""COMPUTED_VALUE"""),1.7771409999999999)</f>
        <v>1.777141</v>
      </c>
      <c r="E176" s="20">
        <f>IFERROR(__xludf.DUMMYFUNCTION("""COMPUTED_VALUE"""),1.3608045999999998)</f>
        <v>1.3608046</v>
      </c>
      <c r="F176" s="20">
        <f>IFERROR(__xludf.DUMMYFUNCTION("""COMPUTED_VALUE"""),1.2803719357142858)</f>
        <v>1.280371936</v>
      </c>
      <c r="G176" s="20">
        <f>IFERROR(__xludf.DUMMYFUNCTION("""COMPUTED_VALUE"""),0.85957)</f>
        <v>0.85957</v>
      </c>
      <c r="H176" s="23"/>
      <c r="J176" s="22"/>
    </row>
    <row r="177">
      <c r="A177" s="24">
        <f>IFERROR(__xludf.DUMMYFUNCTION("""COMPUTED_VALUE"""),44737.0)</f>
        <v>44737</v>
      </c>
      <c r="B177" s="20">
        <f>IFERROR(__xludf.DUMMYFUNCTION("""COMPUTED_VALUE"""),1.2498866315789474)</f>
        <v>1.249886632</v>
      </c>
      <c r="C177" s="21">
        <f>IFERROR(__xludf.DUMMYFUNCTION("""COMPUTED_VALUE"""),1.0190000000000001)</f>
        <v>1.019</v>
      </c>
      <c r="D177" s="21">
        <f>IFERROR(__xludf.DUMMYFUNCTION("""COMPUTED_VALUE"""),1.7771409999999999)</f>
        <v>1.777141</v>
      </c>
      <c r="E177" s="20">
        <f>IFERROR(__xludf.DUMMYFUNCTION("""COMPUTED_VALUE"""),1.3745648)</f>
        <v>1.3745648</v>
      </c>
      <c r="F177" s="20">
        <f>IFERROR(__xludf.DUMMYFUNCTION("""COMPUTED_VALUE"""),1.3030353)</f>
        <v>1.3030353</v>
      </c>
      <c r="G177" s="20">
        <f>IFERROR(__xludf.DUMMYFUNCTION("""COMPUTED_VALUE"""),0.85957)</f>
        <v>0.85957</v>
      </c>
      <c r="H177" s="23"/>
      <c r="J177" s="22"/>
    </row>
    <row r="178">
      <c r="A178" s="24">
        <f>IFERROR(__xludf.DUMMYFUNCTION("""COMPUTED_VALUE"""),44738.0)</f>
        <v>44738</v>
      </c>
      <c r="B178" s="20">
        <f>IFERROR(__xludf.DUMMYFUNCTION("""COMPUTED_VALUE"""),1.2498866315789474)</f>
        <v>1.249886632</v>
      </c>
      <c r="C178" s="21">
        <f>IFERROR(__xludf.DUMMYFUNCTION("""COMPUTED_VALUE"""),1.0190000000000001)</f>
        <v>1.019</v>
      </c>
      <c r="D178" s="21">
        <f>IFERROR(__xludf.DUMMYFUNCTION("""COMPUTED_VALUE"""),1.7771409999999999)</f>
        <v>1.777141</v>
      </c>
      <c r="E178" s="20">
        <f>IFERROR(__xludf.DUMMYFUNCTION("""COMPUTED_VALUE"""),1.4500319)</f>
        <v>1.4500319</v>
      </c>
      <c r="F178" s="20">
        <f>IFERROR(__xludf.DUMMYFUNCTION("""COMPUTED_VALUE"""),1.325698664285714)</f>
        <v>1.325698664</v>
      </c>
      <c r="G178" s="20">
        <f>IFERROR(__xludf.DUMMYFUNCTION("""COMPUTED_VALUE"""),0.85957)</f>
        <v>0.85957</v>
      </c>
      <c r="H178" s="23"/>
      <c r="J178" s="22"/>
    </row>
    <row r="179">
      <c r="A179" s="24">
        <f>IFERROR(__xludf.DUMMYFUNCTION("""COMPUTED_VALUE"""),44739.0)</f>
        <v>44739</v>
      </c>
      <c r="B179" s="20">
        <f>IFERROR(__xludf.DUMMYFUNCTION("""COMPUTED_VALUE"""),1.4109757777777778)</f>
        <v>1.410975778</v>
      </c>
      <c r="C179" s="21">
        <f>IFERROR(__xludf.DUMMYFUNCTION("""COMPUTED_VALUE"""),1.0430000000000001)</f>
        <v>1.043</v>
      </c>
      <c r="D179" s="21">
        <f>IFERROR(__xludf.DUMMYFUNCTION("""COMPUTED_VALUE"""),2.3249999999999997)</f>
        <v>2.325</v>
      </c>
      <c r="E179" s="20">
        <f>IFERROR(__xludf.DUMMYFUNCTION("""COMPUTED_VALUE"""),1.4257214999999999)</f>
        <v>1.4257215</v>
      </c>
      <c r="F179" s="20">
        <f>IFERROR(__xludf.DUMMYFUNCTION("""COMPUTED_VALUE"""),1.3445383071428572)</f>
        <v>1.344538307</v>
      </c>
      <c r="G179" s="20">
        <f>IFERROR(__xludf.DUMMYFUNCTION("""COMPUTED_VALUE"""),0.85957)</f>
        <v>0.85957</v>
      </c>
      <c r="H179" s="23"/>
      <c r="J179" s="22"/>
    </row>
    <row r="180">
      <c r="A180" s="24">
        <f>IFERROR(__xludf.DUMMYFUNCTION("""COMPUTED_VALUE"""),44740.0)</f>
        <v>44740</v>
      </c>
      <c r="B180" s="20">
        <f>IFERROR(__xludf.DUMMYFUNCTION("""COMPUTED_VALUE"""),1.4109757777777778)</f>
        <v>1.410975778</v>
      </c>
      <c r="C180" s="21">
        <f>IFERROR(__xludf.DUMMYFUNCTION("""COMPUTED_VALUE"""),1.0430000000000001)</f>
        <v>1.043</v>
      </c>
      <c r="D180" s="21">
        <f>IFERROR(__xludf.DUMMYFUNCTION("""COMPUTED_VALUE"""),2.3249999999999997)</f>
        <v>2.325</v>
      </c>
      <c r="E180" s="20">
        <f>IFERROR(__xludf.DUMMYFUNCTION("""COMPUTED_VALUE"""),1.3660476)</f>
        <v>1.3660476</v>
      </c>
      <c r="F180" s="20">
        <f>IFERROR(__xludf.DUMMYFUNCTION("""COMPUTED_VALUE"""),1.3565184857142856)</f>
        <v>1.356518486</v>
      </c>
      <c r="G180" s="20">
        <f>IFERROR(__xludf.DUMMYFUNCTION("""COMPUTED_VALUE"""),0.85957)</f>
        <v>0.85957</v>
      </c>
      <c r="H180" s="23"/>
      <c r="J180" s="22"/>
    </row>
    <row r="181">
      <c r="A181" s="24">
        <f>IFERROR(__xludf.DUMMYFUNCTION("""COMPUTED_VALUE"""),44741.0)</f>
        <v>44741</v>
      </c>
      <c r="B181" s="20">
        <f>IFERROR(__xludf.DUMMYFUNCTION("""COMPUTED_VALUE"""),1.4109757777777778)</f>
        <v>1.410975778</v>
      </c>
      <c r="C181" s="21">
        <f>IFERROR(__xludf.DUMMYFUNCTION("""COMPUTED_VALUE"""),1.0430000000000001)</f>
        <v>1.043</v>
      </c>
      <c r="D181" s="21">
        <f>IFERROR(__xludf.DUMMYFUNCTION("""COMPUTED_VALUE"""),2.3249999999999997)</f>
        <v>2.325</v>
      </c>
      <c r="E181" s="20">
        <f>IFERROR(__xludf.DUMMYFUNCTION("""COMPUTED_VALUE"""),1.4579070999999997)</f>
        <v>1.4579071</v>
      </c>
      <c r="F181" s="20">
        <f>IFERROR(__xludf.DUMMYFUNCTION("""COMPUTED_VALUE"""),1.3578311464285713)</f>
        <v>1.357831146</v>
      </c>
      <c r="G181" s="20">
        <f>IFERROR(__xludf.DUMMYFUNCTION("""COMPUTED_VALUE"""),0.85957)</f>
        <v>0.85957</v>
      </c>
      <c r="H181" s="23"/>
      <c r="J181" s="22"/>
    </row>
    <row r="182">
      <c r="A182" s="24">
        <f>IFERROR(__xludf.DUMMYFUNCTION("""COMPUTED_VALUE"""),44742.0)</f>
        <v>44742</v>
      </c>
      <c r="B182" s="20">
        <f>IFERROR(__xludf.DUMMYFUNCTION("""COMPUTED_VALUE"""),1.4109757777777778)</f>
        <v>1.410975778</v>
      </c>
      <c r="C182" s="21">
        <f>IFERROR(__xludf.DUMMYFUNCTION("""COMPUTED_VALUE"""),1.0430000000000001)</f>
        <v>1.043</v>
      </c>
      <c r="D182" s="21">
        <f>IFERROR(__xludf.DUMMYFUNCTION("""COMPUTED_VALUE"""),2.3249999999999997)</f>
        <v>2.325</v>
      </c>
      <c r="E182" s="20">
        <f>IFERROR(__xludf.DUMMYFUNCTION("""COMPUTED_VALUE"""),1.5730498)</f>
        <v>1.5730498</v>
      </c>
      <c r="F182" s="20">
        <f>IFERROR(__xludf.DUMMYFUNCTION("""COMPUTED_VALUE"""),1.354393389285714)</f>
        <v>1.354393389</v>
      </c>
      <c r="G182" s="20">
        <f>IFERROR(__xludf.DUMMYFUNCTION("""COMPUTED_VALUE"""),0.85957)</f>
        <v>0.85957</v>
      </c>
      <c r="H182" s="23"/>
      <c r="J182" s="22"/>
    </row>
    <row r="183">
      <c r="A183" s="24">
        <f>IFERROR(__xludf.DUMMYFUNCTION("""COMPUTED_VALUE"""),44743.0)</f>
        <v>44743</v>
      </c>
      <c r="B183" s="20">
        <f>IFERROR(__xludf.DUMMYFUNCTION("""COMPUTED_VALUE"""),1.4109757777777778)</f>
        <v>1.410975778</v>
      </c>
      <c r="C183" s="21">
        <f>IFERROR(__xludf.DUMMYFUNCTION("""COMPUTED_VALUE"""),1.0430000000000001)</f>
        <v>1.043</v>
      </c>
      <c r="D183" s="21">
        <f>IFERROR(__xludf.DUMMYFUNCTION("""COMPUTED_VALUE"""),2.3249999999999997)</f>
        <v>2.325</v>
      </c>
      <c r="E183" s="20">
        <f>IFERROR(__xludf.DUMMYFUNCTION("""COMPUTED_VALUE"""),1.5664371999999998)</f>
        <v>1.5664372</v>
      </c>
      <c r="F183" s="20">
        <f>IFERROR(__xludf.DUMMYFUNCTION("""COMPUTED_VALUE"""),1.3606991285714283)</f>
        <v>1.360699129</v>
      </c>
      <c r="G183" s="20">
        <f>IFERROR(__xludf.DUMMYFUNCTION("""COMPUTED_VALUE"""),1.049988)</f>
        <v>1.049988</v>
      </c>
      <c r="H183" s="23"/>
      <c r="J183" s="22"/>
    </row>
    <row r="184">
      <c r="A184" s="24">
        <f>IFERROR(__xludf.DUMMYFUNCTION("""COMPUTED_VALUE"""),44744.0)</f>
        <v>44744</v>
      </c>
      <c r="B184" s="20">
        <f>IFERROR(__xludf.DUMMYFUNCTION("""COMPUTED_VALUE"""),1.4109757777777778)</f>
        <v>1.410975778</v>
      </c>
      <c r="C184" s="21">
        <f>IFERROR(__xludf.DUMMYFUNCTION("""COMPUTED_VALUE"""),1.0430000000000001)</f>
        <v>1.043</v>
      </c>
      <c r="D184" s="21">
        <f>IFERROR(__xludf.DUMMYFUNCTION("""COMPUTED_VALUE"""),2.3249999999999997)</f>
        <v>2.325</v>
      </c>
      <c r="E184" s="20">
        <f>IFERROR(__xludf.DUMMYFUNCTION("""COMPUTED_VALUE"""),1.5824016)</f>
        <v>1.5824016</v>
      </c>
      <c r="F184" s="20">
        <f>IFERROR(__xludf.DUMMYFUNCTION("""COMPUTED_VALUE"""),1.3670048678571425)</f>
        <v>1.367004868</v>
      </c>
      <c r="G184" s="20">
        <f>IFERROR(__xludf.DUMMYFUNCTION("""COMPUTED_VALUE"""),1.049988)</f>
        <v>1.049988</v>
      </c>
      <c r="H184" s="23"/>
      <c r="J184" s="22"/>
    </row>
    <row r="185">
      <c r="A185" s="24">
        <f>IFERROR(__xludf.DUMMYFUNCTION("""COMPUTED_VALUE"""),44745.0)</f>
        <v>44745</v>
      </c>
      <c r="B185" s="20">
        <f>IFERROR(__xludf.DUMMYFUNCTION("""COMPUTED_VALUE"""),1.4109757777777778)</f>
        <v>1.410975778</v>
      </c>
      <c r="C185" s="21">
        <f>IFERROR(__xludf.DUMMYFUNCTION("""COMPUTED_VALUE"""),1.0430000000000001)</f>
        <v>1.043</v>
      </c>
      <c r="D185" s="21">
        <f>IFERROR(__xludf.DUMMYFUNCTION("""COMPUTED_VALUE"""),2.3249999999999997)</f>
        <v>2.325</v>
      </c>
      <c r="E185" s="20">
        <f>IFERROR(__xludf.DUMMYFUNCTION("""COMPUTED_VALUE"""),1.6612284999999998)</f>
        <v>1.6612285</v>
      </c>
      <c r="F185" s="20">
        <f>IFERROR(__xludf.DUMMYFUNCTION("""COMPUTED_VALUE"""),1.3733106071428571)</f>
        <v>1.373310607</v>
      </c>
      <c r="G185" s="20">
        <f>IFERROR(__xludf.DUMMYFUNCTION("""COMPUTED_VALUE"""),1.049988)</f>
        <v>1.049988</v>
      </c>
      <c r="H185" s="23"/>
      <c r="J185" s="22"/>
    </row>
    <row r="186">
      <c r="A186" s="24">
        <f>IFERROR(__xludf.DUMMYFUNCTION("""COMPUTED_VALUE"""),44746.0)</f>
        <v>44746</v>
      </c>
      <c r="B186" s="20">
        <f>IFERROR(__xludf.DUMMYFUNCTION("""COMPUTED_VALUE"""),1.5184)</f>
        <v>1.5184</v>
      </c>
      <c r="C186" s="21">
        <f>IFERROR(__xludf.DUMMYFUNCTION("""COMPUTED_VALUE"""),1.045)</f>
        <v>1.045</v>
      </c>
      <c r="D186" s="21">
        <f>IFERROR(__xludf.DUMMYFUNCTION("""COMPUTED_VALUE"""),2.34)</f>
        <v>2.34</v>
      </c>
      <c r="E186" s="20">
        <f>IFERROR(__xludf.DUMMYFUNCTION("""COMPUTED_VALUE"""),1.6986677999999997)</f>
        <v>1.6986678</v>
      </c>
      <c r="F186" s="20">
        <f>IFERROR(__xludf.DUMMYFUNCTION("""COMPUTED_VALUE"""),1.3926157)</f>
        <v>1.3926157</v>
      </c>
      <c r="G186" s="20">
        <f>IFERROR(__xludf.DUMMYFUNCTION("""COMPUTED_VALUE"""),1.049988)</f>
        <v>1.049988</v>
      </c>
      <c r="H186" s="23"/>
      <c r="J186" s="22"/>
    </row>
    <row r="187">
      <c r="A187" s="24">
        <f>IFERROR(__xludf.DUMMYFUNCTION("""COMPUTED_VALUE"""),44747.0)</f>
        <v>44747</v>
      </c>
      <c r="B187" s="20">
        <f>IFERROR(__xludf.DUMMYFUNCTION("""COMPUTED_VALUE"""),1.5184)</f>
        <v>1.5184</v>
      </c>
      <c r="C187" s="21">
        <f>IFERROR(__xludf.DUMMYFUNCTION("""COMPUTED_VALUE"""),1.045)</f>
        <v>1.045</v>
      </c>
      <c r="D187" s="21">
        <f>IFERROR(__xludf.DUMMYFUNCTION("""COMPUTED_VALUE"""),2.34)</f>
        <v>2.34</v>
      </c>
      <c r="E187" s="20">
        <f>IFERROR(__xludf.DUMMYFUNCTION("""COMPUTED_VALUE"""),1.8293148)</f>
        <v>1.8293148</v>
      </c>
      <c r="F187" s="20">
        <f>IFERROR(__xludf.DUMMYFUNCTION("""COMPUTED_VALUE"""),1.4079980964285712)</f>
        <v>1.407998096</v>
      </c>
      <c r="G187" s="20">
        <f>IFERROR(__xludf.DUMMYFUNCTION("""COMPUTED_VALUE"""),1.049988)</f>
        <v>1.049988</v>
      </c>
      <c r="H187" s="23"/>
      <c r="J187" s="22"/>
    </row>
    <row r="188">
      <c r="A188" s="24">
        <f>IFERROR(__xludf.DUMMYFUNCTION("""COMPUTED_VALUE"""),44748.0)</f>
        <v>44748</v>
      </c>
      <c r="B188" s="20">
        <f>IFERROR(__xludf.DUMMYFUNCTION("""COMPUTED_VALUE"""),1.5184)</f>
        <v>1.5184</v>
      </c>
      <c r="C188" s="21">
        <f>IFERROR(__xludf.DUMMYFUNCTION("""COMPUTED_VALUE"""),1.045)</f>
        <v>1.045</v>
      </c>
      <c r="D188" s="21">
        <f>IFERROR(__xludf.DUMMYFUNCTION("""COMPUTED_VALUE"""),2.34)</f>
        <v>2.34</v>
      </c>
      <c r="E188" s="20">
        <f>IFERROR(__xludf.DUMMYFUNCTION("""COMPUTED_VALUE"""),1.7391566)</f>
        <v>1.7391566</v>
      </c>
      <c r="F188" s="20">
        <f>IFERROR(__xludf.DUMMYFUNCTION("""COMPUTED_VALUE"""),1.4415487107142855)</f>
        <v>1.441548711</v>
      </c>
      <c r="G188" s="20">
        <f>IFERROR(__xludf.DUMMYFUNCTION("""COMPUTED_VALUE"""),1.049988)</f>
        <v>1.049988</v>
      </c>
      <c r="H188" s="23"/>
      <c r="J188" s="22"/>
    </row>
    <row r="189">
      <c r="A189" s="24">
        <f>IFERROR(__xludf.DUMMYFUNCTION("""COMPUTED_VALUE"""),44749.0)</f>
        <v>44749</v>
      </c>
      <c r="B189" s="20">
        <f>IFERROR(__xludf.DUMMYFUNCTION("""COMPUTED_VALUE"""),1.5184)</f>
        <v>1.5184</v>
      </c>
      <c r="C189" s="21">
        <f>IFERROR(__xludf.DUMMYFUNCTION("""COMPUTED_VALUE"""),1.045)</f>
        <v>1.045</v>
      </c>
      <c r="D189" s="21">
        <f>IFERROR(__xludf.DUMMYFUNCTION("""COMPUTED_VALUE"""),2.34)</f>
        <v>2.34</v>
      </c>
      <c r="E189" s="20">
        <f>IFERROR(__xludf.DUMMYFUNCTION("""COMPUTED_VALUE"""),1.9546545999999998)</f>
        <v>1.9546546</v>
      </c>
      <c r="F189" s="20">
        <f>IFERROR(__xludf.DUMMYFUNCTION("""COMPUTED_VALUE"""),1.4899528357142857)</f>
        <v>1.489952836</v>
      </c>
      <c r="G189" s="20">
        <f>IFERROR(__xludf.DUMMYFUNCTION("""COMPUTED_VALUE"""),1.049988)</f>
        <v>1.049988</v>
      </c>
      <c r="H189" s="23"/>
      <c r="J189" s="22"/>
    </row>
    <row r="190">
      <c r="A190" s="24">
        <f>IFERROR(__xludf.DUMMYFUNCTION("""COMPUTED_VALUE"""),44750.0)</f>
        <v>44750</v>
      </c>
      <c r="B190" s="20">
        <f>IFERROR(__xludf.DUMMYFUNCTION("""COMPUTED_VALUE"""),1.5184)</f>
        <v>1.5184</v>
      </c>
      <c r="C190" s="21">
        <f>IFERROR(__xludf.DUMMYFUNCTION("""COMPUTED_VALUE"""),1.045)</f>
        <v>1.045</v>
      </c>
      <c r="D190" s="21">
        <f>IFERROR(__xludf.DUMMYFUNCTION("""COMPUTED_VALUE"""),2.34)</f>
        <v>2.34</v>
      </c>
      <c r="E190" s="20">
        <f>IFERROR(__xludf.DUMMYFUNCTION("""COMPUTED_VALUE"""),1.9108488)</f>
        <v>1.9108488</v>
      </c>
      <c r="F190" s="20">
        <f>IFERROR(__xludf.DUMMYFUNCTION("""COMPUTED_VALUE"""),1.526262521428571)</f>
        <v>1.526262521</v>
      </c>
      <c r="G190" s="20">
        <f>IFERROR(__xludf.DUMMYFUNCTION("""COMPUTED_VALUE"""),1.049988)</f>
        <v>1.049988</v>
      </c>
      <c r="H190" s="23"/>
      <c r="J190" s="22"/>
    </row>
    <row r="191">
      <c r="A191" s="19">
        <f>IFERROR(__xludf.DUMMYFUNCTION("""COMPUTED_VALUE"""),44751.0)</f>
        <v>44751</v>
      </c>
      <c r="B191" s="20">
        <f>IFERROR(__xludf.DUMMYFUNCTION("""COMPUTED_VALUE"""),1.5184)</f>
        <v>1.5184</v>
      </c>
      <c r="C191" s="21">
        <f>IFERROR(__xludf.DUMMYFUNCTION("""COMPUTED_VALUE"""),1.045)</f>
        <v>1.045</v>
      </c>
      <c r="D191" s="21">
        <f>IFERROR(__xludf.DUMMYFUNCTION("""COMPUTED_VALUE"""),2.34)</f>
        <v>2.34</v>
      </c>
      <c r="E191" s="20">
        <f>IFERROR(__xludf.DUMMYFUNCTION("""COMPUTED_VALUE"""),1.7715669)</f>
        <v>1.7715669</v>
      </c>
      <c r="F191" s="20">
        <f>IFERROR(__xludf.DUMMYFUNCTION("""COMPUTED_VALUE"""),1.5625722071428567)</f>
        <v>1.562572207</v>
      </c>
      <c r="G191" s="20">
        <f>IFERROR(__xludf.DUMMYFUNCTION("""COMPUTED_VALUE"""),1.049988)</f>
        <v>1.049988</v>
      </c>
      <c r="H191" s="23"/>
      <c r="J191" s="22"/>
    </row>
    <row r="192">
      <c r="A192" s="19">
        <f>IFERROR(__xludf.DUMMYFUNCTION("""COMPUTED_VALUE"""),44752.0)</f>
        <v>44752</v>
      </c>
      <c r="B192" s="20">
        <f>IFERROR(__xludf.DUMMYFUNCTION("""COMPUTED_VALUE"""),1.5184)</f>
        <v>1.5184</v>
      </c>
      <c r="C192" s="21">
        <f>IFERROR(__xludf.DUMMYFUNCTION("""COMPUTED_VALUE"""),1.045)</f>
        <v>1.045</v>
      </c>
      <c r="D192" s="21">
        <f>IFERROR(__xludf.DUMMYFUNCTION("""COMPUTED_VALUE"""),2.34)</f>
        <v>2.34</v>
      </c>
      <c r="E192" s="20">
        <f>IFERROR(__xludf.DUMMYFUNCTION("""COMPUTED_VALUE"""),1.7320945999999997)</f>
        <v>1.7320946</v>
      </c>
      <c r="F192" s="20">
        <f>IFERROR(__xludf.DUMMYFUNCTION("""COMPUTED_VALUE"""),1.5988818928571427)</f>
        <v>1.598881893</v>
      </c>
      <c r="G192" s="20">
        <f>IFERROR(__xludf.DUMMYFUNCTION("""COMPUTED_VALUE"""),1.049988)</f>
        <v>1.049988</v>
      </c>
      <c r="H192" s="23"/>
      <c r="J192" s="22"/>
    </row>
    <row r="193">
      <c r="A193" s="19">
        <f>IFERROR(__xludf.DUMMYFUNCTION("""COMPUTED_VALUE"""),44753.0)</f>
        <v>44753</v>
      </c>
      <c r="B193" s="20">
        <f>IFERROR(__xludf.DUMMYFUNCTION("""COMPUTED_VALUE"""),1.5799999999999996)</f>
        <v>1.58</v>
      </c>
      <c r="C193" s="21">
        <f>IFERROR(__xludf.DUMMYFUNCTION("""COMPUTED_VALUE"""),1.137)</f>
        <v>1.137</v>
      </c>
      <c r="D193" s="21">
        <f>IFERROR(__xludf.DUMMYFUNCTION("""COMPUTED_VALUE"""),1.9049999999999998)</f>
        <v>1.905</v>
      </c>
      <c r="E193" s="20">
        <f>IFERROR(__xludf.DUMMYFUNCTION("""COMPUTED_VALUE"""),1.8190856)</f>
        <v>1.8190856</v>
      </c>
      <c r="F193" s="20">
        <f>IFERROR(__xludf.DUMMYFUNCTION("""COMPUTED_VALUE"""),1.6127345714285712)</f>
        <v>1.612734571</v>
      </c>
      <c r="G193" s="20">
        <f>IFERROR(__xludf.DUMMYFUNCTION("""COMPUTED_VALUE"""),1.049988)</f>
        <v>1.049988</v>
      </c>
      <c r="H193" s="23"/>
      <c r="J193" s="22"/>
    </row>
    <row r="194">
      <c r="A194" s="19">
        <f>IFERROR(__xludf.DUMMYFUNCTION("""COMPUTED_VALUE"""),44754.0)</f>
        <v>44754</v>
      </c>
      <c r="B194" s="20">
        <f>IFERROR(__xludf.DUMMYFUNCTION("""COMPUTED_VALUE"""),1.5799999999999996)</f>
        <v>1.58</v>
      </c>
      <c r="C194" s="21">
        <f>IFERROR(__xludf.DUMMYFUNCTION("""COMPUTED_VALUE"""),1.137)</f>
        <v>1.137</v>
      </c>
      <c r="D194" s="21">
        <f>IFERROR(__xludf.DUMMYFUNCTION("""COMPUTED_VALUE"""),1.9049999999999998)</f>
        <v>1.905</v>
      </c>
      <c r="E194" s="20">
        <f>IFERROR(__xludf.DUMMYFUNCTION("""COMPUTED_VALUE"""),1.8483929000000001)</f>
        <v>1.8483929</v>
      </c>
      <c r="F194" s="20">
        <f>IFERROR(__xludf.DUMMYFUNCTION("""COMPUTED_VALUE"""),1.6404345785714283)</f>
        <v>1.640434579</v>
      </c>
      <c r="G194" s="20">
        <f>IFERROR(__xludf.DUMMYFUNCTION("""COMPUTED_VALUE"""),1.049988)</f>
        <v>1.049988</v>
      </c>
      <c r="H194" s="23"/>
      <c r="J194" s="22"/>
    </row>
    <row r="195">
      <c r="A195" s="19">
        <f>IFERROR(__xludf.DUMMYFUNCTION("""COMPUTED_VALUE"""),44755.0)</f>
        <v>44755</v>
      </c>
      <c r="B195" s="20">
        <f>IFERROR(__xludf.DUMMYFUNCTION("""COMPUTED_VALUE"""),1.5799999999999996)</f>
        <v>1.58</v>
      </c>
      <c r="C195" s="21">
        <f>IFERROR(__xludf.DUMMYFUNCTION("""COMPUTED_VALUE"""),1.137)</f>
        <v>1.137</v>
      </c>
      <c r="D195" s="21">
        <f>IFERROR(__xludf.DUMMYFUNCTION("""COMPUTED_VALUE"""),1.9049999999999998)</f>
        <v>1.905</v>
      </c>
      <c r="E195" s="20">
        <f>IFERROR(__xludf.DUMMYFUNCTION("""COMPUTED_VALUE"""),1.9216450999999999)</f>
        <v>1.9216451</v>
      </c>
      <c r="F195" s="20">
        <f>IFERROR(__xludf.DUMMYFUNCTION("""COMPUTED_VALUE"""),1.6614830071428572)</f>
        <v>1.661483007</v>
      </c>
      <c r="G195" s="20">
        <f>IFERROR(__xludf.DUMMYFUNCTION("""COMPUTED_VALUE"""),1.049988)</f>
        <v>1.049988</v>
      </c>
      <c r="H195" s="23"/>
      <c r="J195" s="22"/>
    </row>
    <row r="196">
      <c r="A196" s="19">
        <f>IFERROR(__xludf.DUMMYFUNCTION("""COMPUTED_VALUE"""),44756.0)</f>
        <v>44756</v>
      </c>
      <c r="B196" s="20">
        <f>IFERROR(__xludf.DUMMYFUNCTION("""COMPUTED_VALUE"""),1.5799999999999996)</f>
        <v>1.58</v>
      </c>
      <c r="C196" s="21">
        <f>IFERROR(__xludf.DUMMYFUNCTION("""COMPUTED_VALUE"""),1.137)</f>
        <v>1.137</v>
      </c>
      <c r="D196" s="21">
        <f>IFERROR(__xludf.DUMMYFUNCTION("""COMPUTED_VALUE"""),1.9049999999999998)</f>
        <v>1.905</v>
      </c>
      <c r="E196" s="20">
        <f>IFERROR(__xludf.DUMMYFUNCTION("""COMPUTED_VALUE"""),1.9009299)</f>
        <v>1.9009299</v>
      </c>
      <c r="F196" s="20">
        <f>IFERROR(__xludf.DUMMYFUNCTION("""COMPUTED_VALUE"""),1.6552743321428571)</f>
        <v>1.655274332</v>
      </c>
      <c r="G196" s="20">
        <f>IFERROR(__xludf.DUMMYFUNCTION("""COMPUTED_VALUE"""),1.049988)</f>
        <v>1.049988</v>
      </c>
      <c r="H196" s="23"/>
      <c r="J196" s="22"/>
    </row>
    <row r="197">
      <c r="A197" s="19">
        <f>IFERROR(__xludf.DUMMYFUNCTION("""COMPUTED_VALUE"""),44757.0)</f>
        <v>44757</v>
      </c>
      <c r="B197" s="20">
        <f>IFERROR(__xludf.DUMMYFUNCTION("""COMPUTED_VALUE"""),1.5799999999999996)</f>
        <v>1.58</v>
      </c>
      <c r="C197" s="21">
        <f>IFERROR(__xludf.DUMMYFUNCTION("""COMPUTED_VALUE"""),1.137)</f>
        <v>1.137</v>
      </c>
      <c r="D197" s="21">
        <f>IFERROR(__xludf.DUMMYFUNCTION("""COMPUTED_VALUE"""),1.9049999999999998)</f>
        <v>1.905</v>
      </c>
      <c r="E197" s="20">
        <f>IFERROR(__xludf.DUMMYFUNCTION("""COMPUTED_VALUE"""),1.8109535999999997)</f>
        <v>1.8109536</v>
      </c>
      <c r="F197" s="20">
        <f>IFERROR(__xludf.DUMMYFUNCTION("""COMPUTED_VALUE"""),1.6375356428571426)</f>
        <v>1.637535643</v>
      </c>
      <c r="G197" s="20">
        <f>IFERROR(__xludf.DUMMYFUNCTION("""COMPUTED_VALUE"""),1.049988)</f>
        <v>1.049988</v>
      </c>
      <c r="H197" s="23"/>
      <c r="J197" s="22"/>
    </row>
    <row r="198">
      <c r="A198" s="19">
        <f>IFERROR(__xludf.DUMMYFUNCTION("""COMPUTED_VALUE"""),44758.0)</f>
        <v>44758</v>
      </c>
      <c r="B198" s="20">
        <f>IFERROR(__xludf.DUMMYFUNCTION("""COMPUTED_VALUE"""),1.5799999999999996)</f>
        <v>1.58</v>
      </c>
      <c r="C198" s="21">
        <f>IFERROR(__xludf.DUMMYFUNCTION("""COMPUTED_VALUE"""),1.137)</f>
        <v>1.137</v>
      </c>
      <c r="D198" s="21">
        <f>IFERROR(__xludf.DUMMYFUNCTION("""COMPUTED_VALUE"""),1.9049999999999998)</f>
        <v>1.905</v>
      </c>
      <c r="E198" s="20">
        <f>IFERROR(__xludf.DUMMYFUNCTION("""COMPUTED_VALUE"""),1.7506055999999999)</f>
        <v>1.7506056</v>
      </c>
      <c r="F198" s="20">
        <f>IFERROR(__xludf.DUMMYFUNCTION("""COMPUTED_VALUE"""),1.6197969535714287)</f>
        <v>1.619796954</v>
      </c>
      <c r="G198" s="20">
        <f>IFERROR(__xludf.DUMMYFUNCTION("""COMPUTED_VALUE"""),1.049988)</f>
        <v>1.049988</v>
      </c>
      <c r="H198" s="23"/>
      <c r="J198" s="22"/>
    </row>
    <row r="199">
      <c r="A199" s="19">
        <f>IFERROR(__xludf.DUMMYFUNCTION("""COMPUTED_VALUE"""),44759.0)</f>
        <v>44759</v>
      </c>
      <c r="B199" s="20">
        <f>IFERROR(__xludf.DUMMYFUNCTION("""COMPUTED_VALUE"""),1.5799999999999996)</f>
        <v>1.58</v>
      </c>
      <c r="C199" s="21">
        <f>IFERROR(__xludf.DUMMYFUNCTION("""COMPUTED_VALUE"""),1.137)</f>
        <v>1.137</v>
      </c>
      <c r="D199" s="21">
        <f>IFERROR(__xludf.DUMMYFUNCTION("""COMPUTED_VALUE"""),1.9049999999999998)</f>
        <v>1.905</v>
      </c>
      <c r="E199" s="20">
        <f>IFERROR(__xludf.DUMMYFUNCTION("""COMPUTED_VALUE"""),1.8261475999999999)</f>
        <v>1.8261476</v>
      </c>
      <c r="F199" s="20">
        <f>IFERROR(__xludf.DUMMYFUNCTION("""COMPUTED_VALUE"""),1.6020582642857144)</f>
        <v>1.602058264</v>
      </c>
      <c r="G199" s="20">
        <f>IFERROR(__xludf.DUMMYFUNCTION("""COMPUTED_VALUE"""),1.049988)</f>
        <v>1.049988</v>
      </c>
      <c r="H199" s="23"/>
      <c r="J199" s="22"/>
    </row>
    <row r="200">
      <c r="A200" s="24">
        <f>IFERROR(__xludf.DUMMYFUNCTION("""COMPUTED_VALUE"""),44760.0)</f>
        <v>44760</v>
      </c>
      <c r="B200" s="20">
        <f>IFERROR(__xludf.DUMMYFUNCTION("""COMPUTED_VALUE"""),1.6215833333333334)</f>
        <v>1.621583333</v>
      </c>
      <c r="C200" s="21">
        <f>IFERROR(__xludf.DUMMYFUNCTION("""COMPUTED_VALUE"""),1.174)</f>
        <v>1.174</v>
      </c>
      <c r="D200" s="21">
        <f>IFERROR(__xludf.DUMMYFUNCTION("""COMPUTED_VALUE"""),1.9449999999999998)</f>
        <v>1.945</v>
      </c>
      <c r="E200" s="20">
        <f>IFERROR(__xludf.DUMMYFUNCTION("""COMPUTED_VALUE"""),1.7213517999999999)</f>
        <v>1.7213518</v>
      </c>
      <c r="F200" s="20">
        <f>IFERROR(__xludf.DUMMYFUNCTION("""COMPUTED_VALUE"""),1.5903562857142857)</f>
        <v>1.590356286</v>
      </c>
      <c r="G200" s="20">
        <f>IFERROR(__xludf.DUMMYFUNCTION("""COMPUTED_VALUE"""),1.049988)</f>
        <v>1.049988</v>
      </c>
      <c r="H200" s="23"/>
      <c r="J200" s="22"/>
    </row>
    <row r="201">
      <c r="A201" s="24">
        <f>IFERROR(__xludf.DUMMYFUNCTION("""COMPUTED_VALUE"""),44761.0)</f>
        <v>44761</v>
      </c>
      <c r="B201" s="20">
        <f>IFERROR(__xludf.DUMMYFUNCTION("""COMPUTED_VALUE"""),1.6215833333333334)</f>
        <v>1.621583333</v>
      </c>
      <c r="C201" s="21">
        <f>IFERROR(__xludf.DUMMYFUNCTION("""COMPUTED_VALUE"""),1.174)</f>
        <v>1.174</v>
      </c>
      <c r="D201" s="21">
        <f>IFERROR(__xludf.DUMMYFUNCTION("""COMPUTED_VALUE"""),1.9449999999999998)</f>
        <v>1.945</v>
      </c>
      <c r="E201" s="20">
        <f>IFERROR(__xludf.DUMMYFUNCTION("""COMPUTED_VALUE"""),1.7024876999999998)</f>
        <v>1.7024877</v>
      </c>
      <c r="F201" s="20">
        <f>IFERROR(__xludf.DUMMYFUNCTION("""COMPUTED_VALUE"""),1.5672221214285713)</f>
        <v>1.567222121</v>
      </c>
      <c r="G201" s="20">
        <f>IFERROR(__xludf.DUMMYFUNCTION("""COMPUTED_VALUE"""),1.049988)</f>
        <v>1.049988</v>
      </c>
      <c r="H201" s="23"/>
      <c r="J201" s="22"/>
    </row>
    <row r="202">
      <c r="A202" s="24">
        <f>IFERROR(__xludf.DUMMYFUNCTION("""COMPUTED_VALUE"""),44762.0)</f>
        <v>44762</v>
      </c>
      <c r="B202" s="20">
        <f>IFERROR(__xludf.DUMMYFUNCTION("""COMPUTED_VALUE"""),1.6215833333333334)</f>
        <v>1.621583333</v>
      </c>
      <c r="C202" s="21">
        <f>IFERROR(__xludf.DUMMYFUNCTION("""COMPUTED_VALUE"""),1.174)</f>
        <v>1.174</v>
      </c>
      <c r="D202" s="21">
        <f>IFERROR(__xludf.DUMMYFUNCTION("""COMPUTED_VALUE"""),1.9449999999999998)</f>
        <v>1.945</v>
      </c>
      <c r="E202" s="20">
        <f>IFERROR(__xludf.DUMMYFUNCTION("""COMPUTED_VALUE"""),1.6723029999999999)</f>
        <v>1.672303</v>
      </c>
      <c r="F202" s="20">
        <f>IFERROR(__xludf.DUMMYFUNCTION("""COMPUTED_VALUE"""),1.5396325535714286)</f>
        <v>1.539632554</v>
      </c>
      <c r="G202" s="20">
        <f>IFERROR(__xludf.DUMMYFUNCTION("""COMPUTED_VALUE"""),1.049988)</f>
        <v>1.049988</v>
      </c>
      <c r="H202" s="23"/>
      <c r="J202" s="22"/>
    </row>
    <row r="203">
      <c r="A203" s="24">
        <f>IFERROR(__xludf.DUMMYFUNCTION("""COMPUTED_VALUE"""),44763.0)</f>
        <v>44763</v>
      </c>
      <c r="B203" s="20">
        <f>IFERROR(__xludf.DUMMYFUNCTION("""COMPUTED_VALUE"""),1.6215833333333334)</f>
        <v>1.621583333</v>
      </c>
      <c r="C203" s="21">
        <f>IFERROR(__xludf.DUMMYFUNCTION("""COMPUTED_VALUE"""),1.174)</f>
        <v>1.174</v>
      </c>
      <c r="D203" s="21">
        <f>IFERROR(__xludf.DUMMYFUNCTION("""COMPUTED_VALUE"""),1.9449999999999998)</f>
        <v>1.945</v>
      </c>
      <c r="E203" s="20">
        <f>IFERROR(__xludf.DUMMYFUNCTION("""COMPUTED_VALUE"""),1.6108743)</f>
        <v>1.6108743</v>
      </c>
      <c r="F203" s="20">
        <f>IFERROR(__xludf.DUMMYFUNCTION("""COMPUTED_VALUE"""),1.5156729607142856)</f>
        <v>1.515672961</v>
      </c>
      <c r="G203" s="20">
        <f>IFERROR(__xludf.DUMMYFUNCTION("""COMPUTED_VALUE"""),1.049988)</f>
        <v>1.049988</v>
      </c>
      <c r="H203" s="23"/>
      <c r="J203" s="22"/>
    </row>
    <row r="204">
      <c r="A204" s="24">
        <f>IFERROR(__xludf.DUMMYFUNCTION("""COMPUTED_VALUE"""),44764.0)</f>
        <v>44764</v>
      </c>
      <c r="B204" s="20">
        <f>IFERROR(__xludf.DUMMYFUNCTION("""COMPUTED_VALUE"""),1.6215833333333334)</f>
        <v>1.621583333</v>
      </c>
      <c r="C204" s="21">
        <f>IFERROR(__xludf.DUMMYFUNCTION("""COMPUTED_VALUE"""),1.174)</f>
        <v>1.174</v>
      </c>
      <c r="D204" s="21">
        <f>IFERROR(__xludf.DUMMYFUNCTION("""COMPUTED_VALUE"""),1.9449999999999998)</f>
        <v>1.945</v>
      </c>
      <c r="E204" s="20">
        <f>IFERROR(__xludf.DUMMYFUNCTION("""COMPUTED_VALUE"""),1.7110904999999998)</f>
        <v>1.7110905</v>
      </c>
      <c r="F204" s="20">
        <f>IFERROR(__xludf.DUMMYFUNCTION("""COMPUTED_VALUE"""),1.517490432142857)</f>
        <v>1.517490432</v>
      </c>
      <c r="G204" s="20">
        <f>IFERROR(__xludf.DUMMYFUNCTION("""COMPUTED_VALUE"""),1.049988)</f>
        <v>1.049988</v>
      </c>
      <c r="H204" s="23"/>
      <c r="J204" s="22"/>
    </row>
    <row r="205">
      <c r="A205" s="24">
        <f>IFERROR(__xludf.DUMMYFUNCTION("""COMPUTED_VALUE"""),44765.0)</f>
        <v>44765</v>
      </c>
      <c r="B205" s="20">
        <f>IFERROR(__xludf.DUMMYFUNCTION("""COMPUTED_VALUE"""),1.6215833333333334)</f>
        <v>1.621583333</v>
      </c>
      <c r="C205" s="21">
        <f>IFERROR(__xludf.DUMMYFUNCTION("""COMPUTED_VALUE"""),1.174)</f>
        <v>1.174</v>
      </c>
      <c r="D205" s="21">
        <f>IFERROR(__xludf.DUMMYFUNCTION("""COMPUTED_VALUE"""),1.9449999999999998)</f>
        <v>1.945</v>
      </c>
      <c r="E205" s="20">
        <f>IFERROR(__xludf.DUMMYFUNCTION("""COMPUTED_VALUE"""),1.7627393999999998)</f>
        <v>1.7627394</v>
      </c>
      <c r="F205" s="20">
        <f>IFERROR(__xludf.DUMMYFUNCTION("""COMPUTED_VALUE"""),1.5193079035714285)</f>
        <v>1.519307904</v>
      </c>
      <c r="G205" s="20">
        <f>IFERROR(__xludf.DUMMYFUNCTION("""COMPUTED_VALUE"""),1.049988)</f>
        <v>1.049988</v>
      </c>
      <c r="H205" s="23"/>
      <c r="J205" s="22"/>
    </row>
    <row r="206">
      <c r="A206" s="24">
        <f>IFERROR(__xludf.DUMMYFUNCTION("""COMPUTED_VALUE"""),44766.0)</f>
        <v>44766</v>
      </c>
      <c r="B206" s="20">
        <f>IFERROR(__xludf.DUMMYFUNCTION("""COMPUTED_VALUE"""),1.6215833333333334)</f>
        <v>1.621583333</v>
      </c>
      <c r="C206" s="21">
        <f>IFERROR(__xludf.DUMMYFUNCTION("""COMPUTED_VALUE"""),1.174)</f>
        <v>1.174</v>
      </c>
      <c r="D206" s="21">
        <f>IFERROR(__xludf.DUMMYFUNCTION("""COMPUTED_VALUE"""),1.9449999999999998)</f>
        <v>1.945</v>
      </c>
      <c r="E206" s="20">
        <f>IFERROR(__xludf.DUMMYFUNCTION("""COMPUTED_VALUE"""),1.7950854999999997)</f>
        <v>1.7950855</v>
      </c>
      <c r="F206" s="20">
        <f>IFERROR(__xludf.DUMMYFUNCTION("""COMPUTED_VALUE"""),1.521125375)</f>
        <v>1.521125375</v>
      </c>
      <c r="G206" s="20">
        <f>IFERROR(__xludf.DUMMYFUNCTION("""COMPUTED_VALUE"""),1.049988)</f>
        <v>1.049988</v>
      </c>
      <c r="H206" s="23"/>
      <c r="J206" s="22"/>
    </row>
    <row r="207">
      <c r="A207" s="24">
        <f>IFERROR(__xludf.DUMMYFUNCTION("""COMPUTED_VALUE"""),44767.0)</f>
        <v>44767</v>
      </c>
      <c r="B207" s="20">
        <f>IFERROR(__xludf.DUMMYFUNCTION("""COMPUTED_VALUE"""),1.9762)</f>
        <v>1.9762</v>
      </c>
      <c r="C207" s="21">
        <f>IFERROR(__xludf.DUMMYFUNCTION("""COMPUTED_VALUE"""),1.425)</f>
        <v>1.425</v>
      </c>
      <c r="D207" s="21">
        <f>IFERROR(__xludf.DUMMYFUNCTION("""COMPUTED_VALUE"""),2.45)</f>
        <v>2.45</v>
      </c>
      <c r="E207" s="20">
        <f>IFERROR(__xludf.DUMMYFUNCTION("""COMPUTED_VALUE"""),1.8021903)</f>
        <v>1.8021903</v>
      </c>
      <c r="F207" s="20">
        <f>IFERROR(__xludf.DUMMYFUNCTION("""COMPUTED_VALUE"""),1.5405286785714285)</f>
        <v>1.540528679</v>
      </c>
      <c r="G207" s="20">
        <f>IFERROR(__xludf.DUMMYFUNCTION("""COMPUTED_VALUE"""),1.049988)</f>
        <v>1.049988</v>
      </c>
      <c r="H207" s="23"/>
      <c r="J207" s="22"/>
    </row>
    <row r="208">
      <c r="A208" s="24">
        <f>IFERROR(__xludf.DUMMYFUNCTION("""COMPUTED_VALUE"""),44768.0)</f>
        <v>44768</v>
      </c>
      <c r="B208" s="20">
        <f>IFERROR(__xludf.DUMMYFUNCTION("""COMPUTED_VALUE"""),1.9762)</f>
        <v>1.9762</v>
      </c>
      <c r="C208" s="21">
        <f>IFERROR(__xludf.DUMMYFUNCTION("""COMPUTED_VALUE"""),1.425)</f>
        <v>1.425</v>
      </c>
      <c r="D208" s="21">
        <f>IFERROR(__xludf.DUMMYFUNCTION("""COMPUTED_VALUE"""),2.45)</f>
        <v>2.45</v>
      </c>
      <c r="E208" s="20">
        <f>IFERROR(__xludf.DUMMYFUNCTION("""COMPUTED_VALUE"""),2.0750938)</f>
        <v>2.0750938</v>
      </c>
      <c r="F208" s="20">
        <f>IFERROR(__xludf.DUMMYFUNCTION("""COMPUTED_VALUE"""),1.5885930785714284)</f>
        <v>1.588593079</v>
      </c>
      <c r="G208" s="20">
        <f>IFERROR(__xludf.DUMMYFUNCTION("""COMPUTED_VALUE"""),1.049988)</f>
        <v>1.049988</v>
      </c>
      <c r="H208" s="23"/>
      <c r="J208" s="22"/>
    </row>
    <row r="209">
      <c r="A209" s="24">
        <f>IFERROR(__xludf.DUMMYFUNCTION("""COMPUTED_VALUE"""),44769.0)</f>
        <v>44769</v>
      </c>
      <c r="B209" s="20">
        <f>IFERROR(__xludf.DUMMYFUNCTION("""COMPUTED_VALUE"""),1.9762)</f>
        <v>1.9762</v>
      </c>
      <c r="C209" s="21">
        <f>IFERROR(__xludf.DUMMYFUNCTION("""COMPUTED_VALUE"""),1.425)</f>
        <v>1.425</v>
      </c>
      <c r="D209" s="21">
        <f>IFERROR(__xludf.DUMMYFUNCTION("""COMPUTED_VALUE"""),2.45)</f>
        <v>2.45</v>
      </c>
      <c r="E209" s="20">
        <f>IFERROR(__xludf.DUMMYFUNCTION("""COMPUTED_VALUE"""),2.2644409999999997)</f>
        <v>2.264441</v>
      </c>
      <c r="F209" s="20">
        <f>IFERROR(__xludf.DUMMYFUNCTION("""COMPUTED_VALUE"""),1.6318019714285712)</f>
        <v>1.631801971</v>
      </c>
      <c r="G209" s="20">
        <f>IFERROR(__xludf.DUMMYFUNCTION("""COMPUTED_VALUE"""),1.049988)</f>
        <v>1.049988</v>
      </c>
      <c r="H209" s="23"/>
      <c r="J209" s="22"/>
    </row>
    <row r="210">
      <c r="A210" s="24">
        <f>IFERROR(__xludf.DUMMYFUNCTION("""COMPUTED_VALUE"""),44770.0)</f>
        <v>44770</v>
      </c>
      <c r="B210" s="20">
        <f>IFERROR(__xludf.DUMMYFUNCTION("""COMPUTED_VALUE"""),1.9762)</f>
        <v>1.9762</v>
      </c>
      <c r="C210" s="21">
        <f>IFERROR(__xludf.DUMMYFUNCTION("""COMPUTED_VALUE"""),1.425)</f>
        <v>1.425</v>
      </c>
      <c r="D210" s="21">
        <f>IFERROR(__xludf.DUMMYFUNCTION("""COMPUTED_VALUE"""),2.45)</f>
        <v>2.45</v>
      </c>
      <c r="E210" s="20">
        <f>IFERROR(__xludf.DUMMYFUNCTION("""COMPUTED_VALUE"""),2.1842658999999998)</f>
        <v>2.1842659</v>
      </c>
      <c r="F210" s="20">
        <f>IFERROR(__xludf.DUMMYFUNCTION("""COMPUTED_VALUE"""),1.6747861642857143)</f>
        <v>1.674786164</v>
      </c>
      <c r="G210" s="20">
        <f>IFERROR(__xludf.DUMMYFUNCTION("""COMPUTED_VALUE"""),1.049988)</f>
        <v>1.049988</v>
      </c>
      <c r="H210" s="23"/>
      <c r="J210" s="22"/>
    </row>
    <row r="211">
      <c r="A211" s="24">
        <f>IFERROR(__xludf.DUMMYFUNCTION("""COMPUTED_VALUE"""),44771.0)</f>
        <v>44771</v>
      </c>
      <c r="B211" s="20">
        <f>IFERROR(__xludf.DUMMYFUNCTION("""COMPUTED_VALUE"""),1.9762)</f>
        <v>1.9762</v>
      </c>
      <c r="C211" s="21">
        <f>IFERROR(__xludf.DUMMYFUNCTION("""COMPUTED_VALUE"""),1.425)</f>
        <v>1.425</v>
      </c>
      <c r="D211" s="21">
        <f>IFERROR(__xludf.DUMMYFUNCTION("""COMPUTED_VALUE"""),2.45)</f>
        <v>2.45</v>
      </c>
      <c r="E211" s="20">
        <f>IFERROR(__xludf.DUMMYFUNCTION("""COMPUTED_VALUE"""),2.090887)</f>
        <v>2.090887</v>
      </c>
      <c r="F211" s="20">
        <f>IFERROR(__xludf.DUMMYFUNCTION("""COMPUTED_VALUE"""),1.7061222607142859)</f>
        <v>1.706122261</v>
      </c>
      <c r="G211" s="20">
        <f>IFERROR(__xludf.DUMMYFUNCTION("""COMPUTED_VALUE"""),1.049988)</f>
        <v>1.049988</v>
      </c>
      <c r="H211" s="23"/>
      <c r="J211" s="22"/>
    </row>
    <row r="212">
      <c r="A212" s="24">
        <f>IFERROR(__xludf.DUMMYFUNCTION("""COMPUTED_VALUE"""),44772.0)</f>
        <v>44772</v>
      </c>
      <c r="B212" s="20">
        <f>IFERROR(__xludf.DUMMYFUNCTION("""COMPUTED_VALUE"""),1.9762)</f>
        <v>1.9762</v>
      </c>
      <c r="C212" s="21">
        <f>IFERROR(__xludf.DUMMYFUNCTION("""COMPUTED_VALUE"""),1.425)</f>
        <v>1.425</v>
      </c>
      <c r="D212" s="21">
        <f>IFERROR(__xludf.DUMMYFUNCTION("""COMPUTED_VALUE"""),2.45)</f>
        <v>2.45</v>
      </c>
      <c r="E212" s="20">
        <f>IFERROR(__xludf.DUMMYFUNCTION("""COMPUTED_VALUE"""),2.0891857)</f>
        <v>2.0891857</v>
      </c>
      <c r="F212" s="20">
        <f>IFERROR(__xludf.DUMMYFUNCTION("""COMPUTED_VALUE"""),1.7374583571428572)</f>
        <v>1.737458357</v>
      </c>
      <c r="G212" s="20">
        <f>IFERROR(__xludf.DUMMYFUNCTION("""COMPUTED_VALUE"""),1.049988)</f>
        <v>1.049988</v>
      </c>
      <c r="H212" s="23"/>
      <c r="J212" s="22"/>
    </row>
    <row r="213">
      <c r="A213" s="24">
        <f>IFERROR(__xludf.DUMMYFUNCTION("""COMPUTED_VALUE"""),44773.0)</f>
        <v>44773</v>
      </c>
      <c r="B213" s="20">
        <f>IFERROR(__xludf.DUMMYFUNCTION("""COMPUTED_VALUE"""),1.9762)</f>
        <v>1.9762</v>
      </c>
      <c r="C213" s="21">
        <f>IFERROR(__xludf.DUMMYFUNCTION("""COMPUTED_VALUE"""),1.425)</f>
        <v>1.425</v>
      </c>
      <c r="D213" s="21">
        <f>IFERROR(__xludf.DUMMYFUNCTION("""COMPUTED_VALUE"""),2.45)</f>
        <v>2.45</v>
      </c>
      <c r="E213" s="20">
        <f>IFERROR(__xludf.DUMMYFUNCTION("""COMPUTED_VALUE"""),2.0758535)</f>
        <v>2.0758535</v>
      </c>
      <c r="F213" s="20">
        <f>IFERROR(__xludf.DUMMYFUNCTION("""COMPUTED_VALUE"""),1.7687944535714286)</f>
        <v>1.768794454</v>
      </c>
      <c r="G213" s="20">
        <f>IFERROR(__xludf.DUMMYFUNCTION("""COMPUTED_VALUE"""),1.049988)</f>
        <v>1.049988</v>
      </c>
      <c r="H213" s="23"/>
      <c r="J213" s="22"/>
    </row>
    <row r="214">
      <c r="A214" s="24">
        <f>IFERROR(__xludf.DUMMYFUNCTION("""COMPUTED_VALUE"""),44774.0)</f>
        <v>44774</v>
      </c>
      <c r="B214" s="20">
        <f>IFERROR(__xludf.DUMMYFUNCTION("""COMPUTED_VALUE"""),1.9918000000000002)</f>
        <v>1.9918</v>
      </c>
      <c r="C214" s="21">
        <f>IFERROR(__xludf.DUMMYFUNCTION("""COMPUTED_VALUE"""),1.425)</f>
        <v>1.425</v>
      </c>
      <c r="D214" s="21">
        <f>IFERROR(__xludf.DUMMYFUNCTION("""COMPUTED_VALUE"""),2.45)</f>
        <v>2.45</v>
      </c>
      <c r="E214" s="20">
        <f>IFERROR(__xludf.DUMMYFUNCTION("""COMPUTED_VALUE"""),2.1085206)</f>
        <v>2.1085206</v>
      </c>
      <c r="F214" s="20">
        <f>IFERROR(__xludf.DUMMYFUNCTION("""COMPUTED_VALUE"""),1.7969304857142858)</f>
        <v>1.796930486</v>
      </c>
      <c r="G214" s="20">
        <f>IFERROR(__xludf.DUMMYFUNCTION("""COMPUTED_VALUE"""),1.049988)</f>
        <v>1.049988</v>
      </c>
      <c r="H214" s="23"/>
      <c r="J214" s="22"/>
    </row>
    <row r="215">
      <c r="A215" s="24">
        <f>IFERROR(__xludf.DUMMYFUNCTION("""COMPUTED_VALUE"""),44775.0)</f>
        <v>44775</v>
      </c>
      <c r="B215" s="20">
        <f>IFERROR(__xludf.DUMMYFUNCTION("""COMPUTED_VALUE"""),1.9918000000000002)</f>
        <v>1.9918</v>
      </c>
      <c r="C215" s="21">
        <f>IFERROR(__xludf.DUMMYFUNCTION("""COMPUTED_VALUE"""),1.425)</f>
        <v>1.425</v>
      </c>
      <c r="D215" s="21">
        <f>IFERROR(__xludf.DUMMYFUNCTION("""COMPUTED_VALUE"""),2.45)</f>
        <v>2.45</v>
      </c>
      <c r="E215" s="20">
        <f>IFERROR(__xludf.DUMMYFUNCTION("""COMPUTED_VALUE"""),2.1731379)</f>
        <v>2.1731379</v>
      </c>
      <c r="F215" s="20">
        <f>IFERROR(__xludf.DUMMYFUNCTION("""COMPUTED_VALUE"""),1.80481715)</f>
        <v>1.80481715</v>
      </c>
      <c r="G215" s="20">
        <f>IFERROR(__xludf.DUMMYFUNCTION("""COMPUTED_VALUE"""),1.049988)</f>
        <v>1.049988</v>
      </c>
      <c r="H215" s="23"/>
      <c r="J215" s="22"/>
    </row>
    <row r="216">
      <c r="A216" s="24">
        <f>IFERROR(__xludf.DUMMYFUNCTION("""COMPUTED_VALUE"""),44776.0)</f>
        <v>44776</v>
      </c>
      <c r="B216" s="20">
        <f>IFERROR(__xludf.DUMMYFUNCTION("""COMPUTED_VALUE"""),1.9918000000000002)</f>
        <v>1.9918</v>
      </c>
      <c r="C216" s="21">
        <f>IFERROR(__xludf.DUMMYFUNCTION("""COMPUTED_VALUE"""),1.425)</f>
        <v>1.425</v>
      </c>
      <c r="D216" s="21">
        <f>IFERROR(__xludf.DUMMYFUNCTION("""COMPUTED_VALUE"""),2.45)</f>
        <v>2.45</v>
      </c>
      <c r="E216" s="20">
        <f>IFERROR(__xludf.DUMMYFUNCTION("""COMPUTED_VALUE"""),2.150058)</f>
        <v>2.150058</v>
      </c>
      <c r="F216" s="20">
        <f>IFERROR(__xludf.DUMMYFUNCTION("""COMPUTED_VALUE"""),1.8135976464285712)</f>
        <v>1.813597646</v>
      </c>
      <c r="G216" s="20">
        <f>IFERROR(__xludf.DUMMYFUNCTION("""COMPUTED_VALUE"""),1.049988)</f>
        <v>1.049988</v>
      </c>
      <c r="H216" s="23"/>
      <c r="J216" s="22"/>
    </row>
    <row r="217">
      <c r="A217" s="24">
        <f>IFERROR(__xludf.DUMMYFUNCTION("""COMPUTED_VALUE"""),44777.0)</f>
        <v>44777</v>
      </c>
      <c r="B217" s="20">
        <f>IFERROR(__xludf.DUMMYFUNCTION("""COMPUTED_VALUE"""),1.9918000000000002)</f>
        <v>1.9918</v>
      </c>
      <c r="C217" s="21">
        <f>IFERROR(__xludf.DUMMYFUNCTION("""COMPUTED_VALUE"""),1.425)</f>
        <v>1.425</v>
      </c>
      <c r="D217" s="21">
        <f>IFERROR(__xludf.DUMMYFUNCTION("""COMPUTED_VALUE"""),2.45)</f>
        <v>2.45</v>
      </c>
      <c r="E217" s="20">
        <f>IFERROR(__xludf.DUMMYFUNCTION("""COMPUTED_VALUE"""),2.0894638999999997)</f>
        <v>2.0894639</v>
      </c>
      <c r="F217" s="20">
        <f>IFERROR(__xludf.DUMMYFUNCTION("""COMPUTED_VALUE"""),1.8272015499999998)</f>
        <v>1.82720155</v>
      </c>
      <c r="G217" s="20">
        <f>IFERROR(__xludf.DUMMYFUNCTION("""COMPUTED_VALUE"""),1.049988)</f>
        <v>1.049988</v>
      </c>
      <c r="H217" s="23"/>
      <c r="J217" s="22"/>
    </row>
    <row r="218">
      <c r="A218" s="24">
        <f>IFERROR(__xludf.DUMMYFUNCTION("""COMPUTED_VALUE"""),44778.0)</f>
        <v>44778</v>
      </c>
      <c r="B218" s="20">
        <f>IFERROR(__xludf.DUMMYFUNCTION("""COMPUTED_VALUE"""),1.9918000000000002)</f>
        <v>1.9918</v>
      </c>
      <c r="C218" s="21">
        <f>IFERROR(__xludf.DUMMYFUNCTION("""COMPUTED_VALUE"""),1.425)</f>
        <v>1.425</v>
      </c>
      <c r="D218" s="21">
        <f>IFERROR(__xludf.DUMMYFUNCTION("""COMPUTED_VALUE"""),2.45)</f>
        <v>2.45</v>
      </c>
      <c r="E218" s="20">
        <f>IFERROR(__xludf.DUMMYFUNCTION("""COMPUTED_VALUE"""),2.0910046999999996)</f>
        <v>2.0910047</v>
      </c>
      <c r="F218" s="20">
        <f>IFERROR(__xludf.DUMMYFUNCTION("""COMPUTED_VALUE"""),1.8446906999999997)</f>
        <v>1.8446907</v>
      </c>
      <c r="G218" s="20">
        <f>IFERROR(__xludf.DUMMYFUNCTION("""COMPUTED_VALUE"""),1.049988)</f>
        <v>1.049988</v>
      </c>
      <c r="H218" s="23"/>
      <c r="J218" s="22"/>
    </row>
    <row r="219">
      <c r="A219" s="24">
        <f>IFERROR(__xludf.DUMMYFUNCTION("""COMPUTED_VALUE"""),44779.0)</f>
        <v>44779</v>
      </c>
      <c r="B219" s="20">
        <f>IFERROR(__xludf.DUMMYFUNCTION("""COMPUTED_VALUE"""),1.9918000000000002)</f>
        <v>1.9918</v>
      </c>
      <c r="C219" s="21">
        <f>IFERROR(__xludf.DUMMYFUNCTION("""COMPUTED_VALUE"""),1.425)</f>
        <v>1.425</v>
      </c>
      <c r="D219" s="21">
        <f>IFERROR(__xludf.DUMMYFUNCTION("""COMPUTED_VALUE"""),2.45)</f>
        <v>2.45</v>
      </c>
      <c r="E219" s="20">
        <f>IFERROR(__xludf.DUMMYFUNCTION("""COMPUTED_VALUE"""),2.0723011)</f>
        <v>2.0723011</v>
      </c>
      <c r="F219" s="20">
        <f>IFERROR(__xludf.DUMMYFUNCTION("""COMPUTED_VALUE"""),1.8621798499999997)</f>
        <v>1.86217985</v>
      </c>
      <c r="G219" s="20">
        <f>IFERROR(__xludf.DUMMYFUNCTION("""COMPUTED_VALUE"""),1.049988)</f>
        <v>1.049988</v>
      </c>
      <c r="H219" s="23"/>
      <c r="J219" s="22"/>
    </row>
    <row r="220">
      <c r="A220" s="24">
        <f>IFERROR(__xludf.DUMMYFUNCTION("""COMPUTED_VALUE"""),44780.0)</f>
        <v>44780</v>
      </c>
      <c r="B220" s="20">
        <f>IFERROR(__xludf.DUMMYFUNCTION("""COMPUTED_VALUE"""),1.9918000000000002)</f>
        <v>1.9918</v>
      </c>
      <c r="C220" s="21">
        <f>IFERROR(__xludf.DUMMYFUNCTION("""COMPUTED_VALUE"""),1.425)</f>
        <v>1.425</v>
      </c>
      <c r="D220" s="21">
        <f>IFERROR(__xludf.DUMMYFUNCTION("""COMPUTED_VALUE"""),2.45)</f>
        <v>2.45</v>
      </c>
      <c r="E220" s="20">
        <f>IFERROR(__xludf.DUMMYFUNCTION("""COMPUTED_VALUE"""),2.0914648)</f>
        <v>2.0914648</v>
      </c>
      <c r="F220" s="20">
        <f>IFERROR(__xludf.DUMMYFUNCTION("""COMPUTED_VALUE"""),1.8796689999999998)</f>
        <v>1.879669</v>
      </c>
      <c r="G220" s="20">
        <f>IFERROR(__xludf.DUMMYFUNCTION("""COMPUTED_VALUE"""),1.049988)</f>
        <v>1.049988</v>
      </c>
      <c r="H220" s="23"/>
      <c r="J220" s="22"/>
    </row>
    <row r="221">
      <c r="A221" s="24">
        <f>IFERROR(__xludf.DUMMYFUNCTION("""COMPUTED_VALUE"""),44781.0)</f>
        <v>44781</v>
      </c>
      <c r="B221" s="20">
        <f>IFERROR(__xludf.DUMMYFUNCTION("""COMPUTED_VALUE"""),2.0448)</f>
        <v>2.0448</v>
      </c>
      <c r="C221" s="21">
        <f>IFERROR(__xludf.DUMMYFUNCTION("""COMPUTED_VALUE"""),1.575)</f>
        <v>1.575</v>
      </c>
      <c r="D221" s="21">
        <f>IFERROR(__xludf.DUMMYFUNCTION("""COMPUTED_VALUE"""),2.45)</f>
        <v>2.45</v>
      </c>
      <c r="E221" s="20">
        <f>IFERROR(__xludf.DUMMYFUNCTION("""COMPUTED_VALUE"""),2.1186428)</f>
        <v>2.1186428</v>
      </c>
      <c r="F221" s="20">
        <f>IFERROR(__xludf.DUMMYFUNCTION("""COMPUTED_VALUE"""),1.8826714964285713)</f>
        <v>1.882671496</v>
      </c>
      <c r="G221" s="20">
        <f>IFERROR(__xludf.DUMMYFUNCTION("""COMPUTED_VALUE"""),1.049988)</f>
        <v>1.049988</v>
      </c>
      <c r="H221" s="23"/>
      <c r="J221" s="22"/>
    </row>
    <row r="222">
      <c r="A222" s="19">
        <f>IFERROR(__xludf.DUMMYFUNCTION("""COMPUTED_VALUE"""),44782.0)</f>
        <v>44782</v>
      </c>
      <c r="B222" s="20">
        <f>IFERROR(__xludf.DUMMYFUNCTION("""COMPUTED_VALUE"""),2.0448)</f>
        <v>2.0448</v>
      </c>
      <c r="C222" s="21">
        <f>IFERROR(__xludf.DUMMYFUNCTION("""COMPUTED_VALUE"""),1.575)</f>
        <v>1.575</v>
      </c>
      <c r="D222" s="21">
        <f>IFERROR(__xludf.DUMMYFUNCTION("""COMPUTED_VALUE"""),2.45)</f>
        <v>2.45</v>
      </c>
      <c r="E222" s="20">
        <f>IFERROR(__xludf.DUMMYFUNCTION("""COMPUTED_VALUE"""),2.0267084)</f>
        <v>2.0267084</v>
      </c>
      <c r="F222" s="20">
        <f>IFERROR(__xludf.DUMMYFUNCTION("""COMPUTED_VALUE"""),1.8836727107142857)</f>
        <v>1.883672711</v>
      </c>
      <c r="G222" s="20">
        <f>IFERROR(__xludf.DUMMYFUNCTION("""COMPUTED_VALUE"""),1.049988)</f>
        <v>1.049988</v>
      </c>
      <c r="H222" s="23"/>
      <c r="J222" s="22"/>
    </row>
    <row r="223">
      <c r="A223" s="19">
        <f>IFERROR(__xludf.DUMMYFUNCTION("""COMPUTED_VALUE"""),44783.0)</f>
        <v>44783</v>
      </c>
      <c r="B223" s="20">
        <f>IFERROR(__xludf.DUMMYFUNCTION("""COMPUTED_VALUE"""),2.0448)</f>
        <v>2.0448</v>
      </c>
      <c r="C223" s="21">
        <f>IFERROR(__xludf.DUMMYFUNCTION("""COMPUTED_VALUE"""),1.575)</f>
        <v>1.575</v>
      </c>
      <c r="D223" s="21">
        <f>IFERROR(__xludf.DUMMYFUNCTION("""COMPUTED_VALUE"""),2.45)</f>
        <v>2.45</v>
      </c>
      <c r="E223" s="20">
        <f>IFERROR(__xludf.DUMMYFUNCTION("""COMPUTED_VALUE"""),2.1309157)</f>
        <v>2.1309157</v>
      </c>
      <c r="F223" s="20">
        <f>IFERROR(__xludf.DUMMYFUNCTION("""COMPUTED_VALUE"""),1.9063899571428569)</f>
        <v>1.906389957</v>
      </c>
      <c r="G223" s="20">
        <f>IFERROR(__xludf.DUMMYFUNCTION("""COMPUTED_VALUE"""),1.049988)</f>
        <v>1.049988</v>
      </c>
      <c r="H223" s="23"/>
      <c r="J223" s="22"/>
    </row>
    <row r="224">
      <c r="A224" s="19">
        <f>IFERROR(__xludf.DUMMYFUNCTION("""COMPUTED_VALUE"""),44784.0)</f>
        <v>44784</v>
      </c>
      <c r="B224" s="20">
        <f>IFERROR(__xludf.DUMMYFUNCTION("""COMPUTED_VALUE"""),2.0448)</f>
        <v>2.0448</v>
      </c>
      <c r="C224" s="21">
        <f>IFERROR(__xludf.DUMMYFUNCTION("""COMPUTED_VALUE"""),1.575)</f>
        <v>1.575</v>
      </c>
      <c r="D224" s="21">
        <f>IFERROR(__xludf.DUMMYFUNCTION("""COMPUTED_VALUE"""),2.45)</f>
        <v>2.45</v>
      </c>
      <c r="E224" s="20">
        <f>IFERROR(__xludf.DUMMYFUNCTION("""COMPUTED_VALUE"""),2.2563518)</f>
        <v>2.2563518</v>
      </c>
      <c r="F224" s="20">
        <f>IFERROR(__xludf.DUMMYFUNCTION("""COMPUTED_VALUE"""),1.942004525)</f>
        <v>1.942004525</v>
      </c>
      <c r="G224" s="20">
        <f>IFERROR(__xludf.DUMMYFUNCTION("""COMPUTED_VALUE"""),1.049988)</f>
        <v>1.049988</v>
      </c>
      <c r="H224" s="23"/>
      <c r="J224" s="22"/>
    </row>
    <row r="225">
      <c r="A225" s="19">
        <f>IFERROR(__xludf.DUMMYFUNCTION("""COMPUTED_VALUE"""),44785.0)</f>
        <v>44785</v>
      </c>
      <c r="B225" s="20">
        <f>IFERROR(__xludf.DUMMYFUNCTION("""COMPUTED_VALUE"""),2.0448)</f>
        <v>2.0448</v>
      </c>
      <c r="C225" s="21">
        <f>IFERROR(__xludf.DUMMYFUNCTION("""COMPUTED_VALUE"""),1.575)</f>
        <v>1.575</v>
      </c>
      <c r="D225" s="21">
        <f>IFERROR(__xludf.DUMMYFUNCTION("""COMPUTED_VALUE"""),2.45)</f>
        <v>2.45</v>
      </c>
      <c r="E225" s="20">
        <f>IFERROR(__xludf.DUMMYFUNCTION("""COMPUTED_VALUE"""),2.1636897999999998)</f>
        <v>2.1636898</v>
      </c>
      <c r="F225" s="20">
        <f>IFERROR(__xludf.DUMMYFUNCTION("""COMPUTED_VALUE"""),1.9779599642857144)</f>
        <v>1.977959964</v>
      </c>
      <c r="G225" s="20">
        <f>IFERROR(__xludf.DUMMYFUNCTION("""COMPUTED_VALUE"""),1.049988)</f>
        <v>1.049988</v>
      </c>
      <c r="H225" s="23"/>
      <c r="J225" s="22"/>
    </row>
    <row r="226">
      <c r="A226" s="19">
        <f>IFERROR(__xludf.DUMMYFUNCTION("""COMPUTED_VALUE"""),44786.0)</f>
        <v>44786</v>
      </c>
      <c r="B226" s="20">
        <f>IFERROR(__xludf.DUMMYFUNCTION("""COMPUTED_VALUE"""),2.0448)</f>
        <v>2.0448</v>
      </c>
      <c r="C226" s="21">
        <f>IFERROR(__xludf.DUMMYFUNCTION("""COMPUTED_VALUE"""),1.575)</f>
        <v>1.575</v>
      </c>
      <c r="D226" s="21">
        <f>IFERROR(__xludf.DUMMYFUNCTION("""COMPUTED_VALUE"""),2.45)</f>
        <v>2.45</v>
      </c>
      <c r="E226" s="20">
        <f>IFERROR(__xludf.DUMMYFUNCTION("""COMPUTED_VALUE"""),2.1280481)</f>
        <v>2.1280481</v>
      </c>
      <c r="F226" s="20">
        <f>IFERROR(__xludf.DUMMYFUNCTION("""COMPUTED_VALUE"""),2.0139154035714286)</f>
        <v>2.013915404</v>
      </c>
      <c r="G226" s="20">
        <f>IFERROR(__xludf.DUMMYFUNCTION("""COMPUTED_VALUE"""),1.049988)</f>
        <v>1.049988</v>
      </c>
      <c r="H226" s="23"/>
      <c r="J226" s="22"/>
    </row>
    <row r="227">
      <c r="A227" s="19">
        <f>IFERROR(__xludf.DUMMYFUNCTION("""COMPUTED_VALUE"""),44787.0)</f>
        <v>44787</v>
      </c>
      <c r="B227" s="20">
        <f>IFERROR(__xludf.DUMMYFUNCTION("""COMPUTED_VALUE"""),2.0448)</f>
        <v>2.0448</v>
      </c>
      <c r="C227" s="21">
        <f>IFERROR(__xludf.DUMMYFUNCTION("""COMPUTED_VALUE"""),1.575)</f>
        <v>1.575</v>
      </c>
      <c r="D227" s="21">
        <f>IFERROR(__xludf.DUMMYFUNCTION("""COMPUTED_VALUE"""),2.45)</f>
        <v>2.45</v>
      </c>
      <c r="E227" s="20">
        <f>IFERROR(__xludf.DUMMYFUNCTION("""COMPUTED_VALUE"""),2.1390797999999998)</f>
        <v>2.1390798</v>
      </c>
      <c r="F227" s="20">
        <f>IFERROR(__xludf.DUMMYFUNCTION("""COMPUTED_VALUE"""),2.049870842857143)</f>
        <v>2.049870843</v>
      </c>
      <c r="G227" s="20">
        <f>IFERROR(__xludf.DUMMYFUNCTION("""COMPUTED_VALUE"""),1.049988)</f>
        <v>1.049988</v>
      </c>
      <c r="H227" s="23"/>
      <c r="J227" s="22"/>
    </row>
    <row r="228">
      <c r="A228" s="19">
        <f>IFERROR(__xludf.DUMMYFUNCTION("""COMPUTED_VALUE"""),44788.0)</f>
        <v>44788</v>
      </c>
      <c r="B228" s="20">
        <f>IFERROR(__xludf.DUMMYFUNCTION("""COMPUTED_VALUE"""),2.335)</f>
        <v>2.335</v>
      </c>
      <c r="C228" s="21">
        <f>IFERROR(__xludf.DUMMYFUNCTION("""COMPUTED_VALUE"""),1.854)</f>
        <v>1.854</v>
      </c>
      <c r="D228" s="21">
        <f>IFERROR(__xludf.DUMMYFUNCTION("""COMPUTED_VALUE"""),3.2085)</f>
        <v>3.2085</v>
      </c>
      <c r="E228" s="20">
        <f>IFERROR(__xludf.DUMMYFUNCTION("""COMPUTED_VALUE"""),2.2548538)</f>
        <v>2.2548538</v>
      </c>
      <c r="F228" s="20">
        <f>IFERROR(__xludf.DUMMYFUNCTION("""COMPUTED_VALUE"""),2.103750310714286)</f>
        <v>2.103750311</v>
      </c>
      <c r="G228" s="20">
        <f>IFERROR(__xludf.DUMMYFUNCTION("""COMPUTED_VALUE"""),1.049988)</f>
        <v>1.049988</v>
      </c>
      <c r="H228" s="23"/>
      <c r="J228" s="22"/>
    </row>
    <row r="229">
      <c r="A229" s="19">
        <f>IFERROR(__xludf.DUMMYFUNCTION("""COMPUTED_VALUE"""),44789.0)</f>
        <v>44789</v>
      </c>
      <c r="B229" s="20">
        <f>IFERROR(__xludf.DUMMYFUNCTION("""COMPUTED_VALUE"""),2.335)</f>
        <v>2.335</v>
      </c>
      <c r="C229" s="21">
        <f>IFERROR(__xludf.DUMMYFUNCTION("""COMPUTED_VALUE"""),1.854)</f>
        <v>1.854</v>
      </c>
      <c r="D229" s="21">
        <f>IFERROR(__xludf.DUMMYFUNCTION("""COMPUTED_VALUE"""),3.2085)</f>
        <v>3.2085</v>
      </c>
      <c r="E229" s="20">
        <f>IFERROR(__xludf.DUMMYFUNCTION("""COMPUTED_VALUE"""),2.5039498)</f>
        <v>2.5039498</v>
      </c>
      <c r="F229" s="20">
        <f>IFERROR(__xludf.DUMMYFUNCTION("""COMPUTED_VALUE"""),2.164562232142857)</f>
        <v>2.164562232</v>
      </c>
      <c r="G229" s="20">
        <f>IFERROR(__xludf.DUMMYFUNCTION("""COMPUTED_VALUE"""),1.049988)</f>
        <v>1.049988</v>
      </c>
      <c r="H229" s="23"/>
      <c r="J229" s="22"/>
    </row>
    <row r="230">
      <c r="A230" s="19">
        <f>IFERROR(__xludf.DUMMYFUNCTION("""COMPUTED_VALUE"""),44790.0)</f>
        <v>44790</v>
      </c>
      <c r="B230" s="20">
        <f>IFERROR(__xludf.DUMMYFUNCTION("""COMPUTED_VALUE"""),2.335)</f>
        <v>2.335</v>
      </c>
      <c r="C230" s="21">
        <f>IFERROR(__xludf.DUMMYFUNCTION("""COMPUTED_VALUE"""),1.854)</f>
        <v>1.854</v>
      </c>
      <c r="D230" s="21">
        <f>IFERROR(__xludf.DUMMYFUNCTION("""COMPUTED_VALUE"""),3.2085)</f>
        <v>3.2085</v>
      </c>
      <c r="E230" s="20">
        <f>IFERROR(__xludf.DUMMYFUNCTION("""COMPUTED_VALUE"""),2.4501823)</f>
        <v>2.4501823</v>
      </c>
      <c r="F230" s="20">
        <f>IFERROR(__xludf.DUMMYFUNCTION("""COMPUTED_VALUE"""),2.2048546107142855)</f>
        <v>2.204854611</v>
      </c>
      <c r="G230" s="20">
        <f>IFERROR(__xludf.DUMMYFUNCTION("""COMPUTED_VALUE"""),1.049988)</f>
        <v>1.049988</v>
      </c>
      <c r="H230" s="23"/>
      <c r="J230" s="22"/>
    </row>
    <row r="231">
      <c r="A231" s="19">
        <f>IFERROR(__xludf.DUMMYFUNCTION("""COMPUTED_VALUE"""),44791.0)</f>
        <v>44791</v>
      </c>
      <c r="B231" s="20">
        <f>IFERROR(__xludf.DUMMYFUNCTION("""COMPUTED_VALUE"""),2.335)</f>
        <v>2.335</v>
      </c>
      <c r="C231" s="21">
        <f>IFERROR(__xludf.DUMMYFUNCTION("""COMPUTED_VALUE"""),1.854)</f>
        <v>1.854</v>
      </c>
      <c r="D231" s="21">
        <f>IFERROR(__xludf.DUMMYFUNCTION("""COMPUTED_VALUE"""),3.2085)</f>
        <v>3.2085</v>
      </c>
      <c r="E231" s="20">
        <f>IFERROR(__xludf.DUMMYFUNCTION("""COMPUTED_VALUE"""),2.4826568)</f>
        <v>2.4826568</v>
      </c>
      <c r="F231" s="20">
        <f>IFERROR(__xludf.DUMMYFUNCTION("""COMPUTED_VALUE"""),2.252425664285714)</f>
        <v>2.252425664</v>
      </c>
      <c r="G231" s="20">
        <f>IFERROR(__xludf.DUMMYFUNCTION("""COMPUTED_VALUE"""),1.049988)</f>
        <v>1.049988</v>
      </c>
      <c r="H231" s="23"/>
      <c r="J231" s="22"/>
    </row>
    <row r="232">
      <c r="A232" s="19">
        <f>IFERROR(__xludf.DUMMYFUNCTION("""COMPUTED_VALUE"""),44792.0)</f>
        <v>44792</v>
      </c>
      <c r="B232" s="20">
        <f>IFERROR(__xludf.DUMMYFUNCTION("""COMPUTED_VALUE"""),2.335)</f>
        <v>2.335</v>
      </c>
      <c r="C232" s="21">
        <f>IFERROR(__xludf.DUMMYFUNCTION("""COMPUTED_VALUE"""),1.854)</f>
        <v>1.854</v>
      </c>
      <c r="D232" s="21">
        <f>IFERROR(__xludf.DUMMYFUNCTION("""COMPUTED_VALUE"""),3.2085)</f>
        <v>3.2085</v>
      </c>
      <c r="E232" s="20">
        <f>IFERROR(__xludf.DUMMYFUNCTION("""COMPUTED_VALUE"""),2.6047331)</f>
        <v>2.6047331</v>
      </c>
      <c r="F232" s="20">
        <f>IFERROR(__xludf.DUMMYFUNCTION("""COMPUTED_VALUE"""),2.308688175)</f>
        <v>2.308688175</v>
      </c>
      <c r="G232" s="20">
        <f>IFERROR(__xludf.DUMMYFUNCTION("""COMPUTED_VALUE"""),1.049988)</f>
        <v>1.049988</v>
      </c>
      <c r="H232" s="23"/>
      <c r="J232" s="22"/>
    </row>
    <row r="233">
      <c r="A233" s="19">
        <f>IFERROR(__xludf.DUMMYFUNCTION("""COMPUTED_VALUE"""),44793.0)</f>
        <v>44793</v>
      </c>
      <c r="B233" s="20">
        <f>IFERROR(__xludf.DUMMYFUNCTION("""COMPUTED_VALUE"""),2.335)</f>
        <v>2.335</v>
      </c>
      <c r="C233" s="21">
        <f>IFERROR(__xludf.DUMMYFUNCTION("""COMPUTED_VALUE"""),1.854)</f>
        <v>1.854</v>
      </c>
      <c r="D233" s="21">
        <f>IFERROR(__xludf.DUMMYFUNCTION("""COMPUTED_VALUE"""),3.2085)</f>
        <v>3.2085</v>
      </c>
      <c r="E233" s="20">
        <f>IFERROR(__xludf.DUMMYFUNCTION("""COMPUTED_VALUE"""),2.5781007999999996)</f>
        <v>2.5781008</v>
      </c>
      <c r="F233" s="20">
        <f>IFERROR(__xludf.DUMMYFUNCTION("""COMPUTED_VALUE"""),2.3649506857142852)</f>
        <v>2.364950686</v>
      </c>
      <c r="G233" s="20">
        <f>IFERROR(__xludf.DUMMYFUNCTION("""COMPUTED_VALUE"""),1.049988)</f>
        <v>1.049988</v>
      </c>
      <c r="H233" s="23"/>
      <c r="J233" s="22"/>
    </row>
    <row r="234">
      <c r="A234" s="19">
        <f>IFERROR(__xludf.DUMMYFUNCTION("""COMPUTED_VALUE"""),44794.0)</f>
        <v>44794</v>
      </c>
      <c r="B234" s="20">
        <f>IFERROR(__xludf.DUMMYFUNCTION("""COMPUTED_VALUE"""),2.335)</f>
        <v>2.335</v>
      </c>
      <c r="C234" s="21">
        <f>IFERROR(__xludf.DUMMYFUNCTION("""COMPUTED_VALUE"""),1.854)</f>
        <v>1.854</v>
      </c>
      <c r="D234" s="21">
        <f>IFERROR(__xludf.DUMMYFUNCTION("""COMPUTED_VALUE"""),3.2085)</f>
        <v>3.2085</v>
      </c>
      <c r="E234" s="20">
        <f>IFERROR(__xludf.DUMMYFUNCTION("""COMPUTED_VALUE"""),2.6560503)</f>
        <v>2.6560503</v>
      </c>
      <c r="F234" s="20">
        <f>IFERROR(__xludf.DUMMYFUNCTION("""COMPUTED_VALUE"""),2.421213196428571)</f>
        <v>2.421213196</v>
      </c>
      <c r="G234" s="20">
        <f>IFERROR(__xludf.DUMMYFUNCTION("""COMPUTED_VALUE"""),1.049988)</f>
        <v>1.049988</v>
      </c>
      <c r="H234" s="23"/>
      <c r="J234" s="22"/>
    </row>
    <row r="235">
      <c r="A235" s="19">
        <f>IFERROR(__xludf.DUMMYFUNCTION("""COMPUTED_VALUE"""),44795.0)</f>
        <v>44795</v>
      </c>
      <c r="B235" s="20">
        <f>IFERROR(__xludf.DUMMYFUNCTION("""COMPUTED_VALUE"""),2.850125)</f>
        <v>2.850125</v>
      </c>
      <c r="C235" s="21">
        <f>IFERROR(__xludf.DUMMYFUNCTION("""COMPUTED_VALUE"""),1.895)</f>
        <v>1.895</v>
      </c>
      <c r="D235" s="21">
        <f>IFERROR(__xludf.DUMMYFUNCTION("""COMPUTED_VALUE"""),3.6835)</f>
        <v>3.6835</v>
      </c>
      <c r="E235" s="20">
        <f>IFERROR(__xludf.DUMMYFUNCTION("""COMPUTED_VALUE"""),2.9400283)</f>
        <v>2.9400283</v>
      </c>
      <c r="F235" s="20">
        <f>IFERROR(__xludf.DUMMYFUNCTION("""COMPUTED_VALUE"""),2.5013496999999996)</f>
        <v>2.5013497</v>
      </c>
      <c r="G235" s="20">
        <f>IFERROR(__xludf.DUMMYFUNCTION("""COMPUTED_VALUE"""),1.049988)</f>
        <v>1.049988</v>
      </c>
      <c r="H235" s="23"/>
      <c r="J235" s="22"/>
    </row>
    <row r="236">
      <c r="A236" s="19">
        <f>IFERROR(__xludf.DUMMYFUNCTION("""COMPUTED_VALUE"""),44796.0)</f>
        <v>44796</v>
      </c>
      <c r="B236" s="20">
        <f>IFERROR(__xludf.DUMMYFUNCTION("""COMPUTED_VALUE"""),2.850125)</f>
        <v>2.850125</v>
      </c>
      <c r="C236" s="21">
        <f>IFERROR(__xludf.DUMMYFUNCTION("""COMPUTED_VALUE"""),1.895)</f>
        <v>1.895</v>
      </c>
      <c r="D236" s="21">
        <f>IFERROR(__xludf.DUMMYFUNCTION("""COMPUTED_VALUE"""),3.6835)</f>
        <v>3.6835</v>
      </c>
      <c r="E236" s="20">
        <f>IFERROR(__xludf.DUMMYFUNCTION("""COMPUTED_VALUE"""),2.9390332)</f>
        <v>2.9390332</v>
      </c>
      <c r="F236" s="20">
        <f>IFERROR(__xludf.DUMMYFUNCTION("""COMPUTED_VALUE"""),2.5596750178571424)</f>
        <v>2.559675018</v>
      </c>
      <c r="G236" s="20">
        <f>IFERROR(__xludf.DUMMYFUNCTION("""COMPUTED_VALUE"""),1.049988)</f>
        <v>1.049988</v>
      </c>
      <c r="H236" s="23"/>
      <c r="J236" s="22"/>
    </row>
    <row r="237">
      <c r="A237" s="19">
        <f>IFERROR(__xludf.DUMMYFUNCTION("""COMPUTED_VALUE"""),44797.0)</f>
        <v>44797</v>
      </c>
      <c r="B237" s="20">
        <f>IFERROR(__xludf.DUMMYFUNCTION("""COMPUTED_VALUE"""),2.850125)</f>
        <v>2.850125</v>
      </c>
      <c r="C237" s="21">
        <f>IFERROR(__xludf.DUMMYFUNCTION("""COMPUTED_VALUE"""),1.895)</f>
        <v>1.895</v>
      </c>
      <c r="D237" s="21">
        <f>IFERROR(__xludf.DUMMYFUNCTION("""COMPUTED_VALUE"""),3.6835)</f>
        <v>3.6835</v>
      </c>
      <c r="E237" s="20">
        <f>IFERROR(__xludf.DUMMYFUNCTION("""COMPUTED_VALUE"""),2.9823788999999996)</f>
        <v>2.9823789</v>
      </c>
      <c r="F237" s="20">
        <f>IFERROR(__xludf.DUMMYFUNCTION("""COMPUTED_VALUE"""),2.651533371428571)</f>
        <v>2.651533371</v>
      </c>
      <c r="G237" s="20">
        <f>IFERROR(__xludf.DUMMYFUNCTION("""COMPUTED_VALUE"""),1.049988)</f>
        <v>1.049988</v>
      </c>
      <c r="H237" s="23"/>
      <c r="J237" s="22"/>
    </row>
    <row r="238">
      <c r="A238" s="19">
        <f>IFERROR(__xludf.DUMMYFUNCTION("""COMPUTED_VALUE"""),44798.0)</f>
        <v>44798</v>
      </c>
      <c r="B238" s="20">
        <f>IFERROR(__xludf.DUMMYFUNCTION("""COMPUTED_VALUE"""),2.850125)</f>
        <v>2.850125</v>
      </c>
      <c r="C238" s="21">
        <f>IFERROR(__xludf.DUMMYFUNCTION("""COMPUTED_VALUE"""),1.895)</f>
        <v>1.895</v>
      </c>
      <c r="D238" s="21">
        <f>IFERROR(__xludf.DUMMYFUNCTION("""COMPUTED_VALUE"""),3.6835)</f>
        <v>3.6835</v>
      </c>
      <c r="E238" s="20">
        <f>IFERROR(__xludf.DUMMYFUNCTION("""COMPUTED_VALUE"""),3.3052727999999996)</f>
        <v>3.3052728</v>
      </c>
      <c r="F238" s="20">
        <f>IFERROR(__xludf.DUMMYFUNCTION("""COMPUTED_VALUE"""),2.7631221428571426)</f>
        <v>2.763122143</v>
      </c>
      <c r="G238" s="20">
        <f>IFERROR(__xludf.DUMMYFUNCTION("""COMPUTED_VALUE"""),1.049988)</f>
        <v>1.049988</v>
      </c>
      <c r="H238" s="23"/>
      <c r="J238" s="22"/>
    </row>
    <row r="239">
      <c r="A239" s="19">
        <f>IFERROR(__xludf.DUMMYFUNCTION("""COMPUTED_VALUE"""),44799.0)</f>
        <v>44799</v>
      </c>
      <c r="B239" s="20">
        <f>IFERROR(__xludf.DUMMYFUNCTION("""COMPUTED_VALUE"""),2.850125)</f>
        <v>2.850125</v>
      </c>
      <c r="C239" s="21">
        <f>IFERROR(__xludf.DUMMYFUNCTION("""COMPUTED_VALUE"""),1.895)</f>
        <v>1.895</v>
      </c>
      <c r="D239" s="21">
        <f>IFERROR(__xludf.DUMMYFUNCTION("""COMPUTED_VALUE"""),3.6835)</f>
        <v>3.6835</v>
      </c>
      <c r="E239" s="20">
        <f>IFERROR(__xludf.DUMMYFUNCTION("""COMPUTED_VALUE"""),3.2965094999999995)</f>
        <v>3.2965095</v>
      </c>
      <c r="F239" s="20">
        <f>IFERROR(__xludf.DUMMYFUNCTION("""COMPUTED_VALUE"""),2.8980671035714285)</f>
        <v>2.898067104</v>
      </c>
      <c r="G239" s="20">
        <f>IFERROR(__xludf.DUMMYFUNCTION("""COMPUTED_VALUE"""),1.049988)</f>
        <v>1.049988</v>
      </c>
      <c r="H239" s="23"/>
      <c r="J239" s="22"/>
    </row>
    <row r="240">
      <c r="A240" s="19">
        <f>IFERROR(__xludf.DUMMYFUNCTION("""COMPUTED_VALUE"""),44800.0)</f>
        <v>44800</v>
      </c>
      <c r="B240" s="20">
        <f>IFERROR(__xludf.DUMMYFUNCTION("""COMPUTED_VALUE"""),2.850125)</f>
        <v>2.850125</v>
      </c>
      <c r="C240" s="21">
        <f>IFERROR(__xludf.DUMMYFUNCTION("""COMPUTED_VALUE"""),1.895)</f>
        <v>1.895</v>
      </c>
      <c r="D240" s="21">
        <f>IFERROR(__xludf.DUMMYFUNCTION("""COMPUTED_VALUE"""),3.6835)</f>
        <v>3.6835</v>
      </c>
      <c r="E240" s="20">
        <f>IFERROR(__xludf.DUMMYFUNCTION("""COMPUTED_VALUE"""),2.6887388)</f>
        <v>2.6887388</v>
      </c>
      <c r="F240" s="20">
        <f>IFERROR(__xludf.DUMMYFUNCTION("""COMPUTED_VALUE"""),3.033012064285714)</f>
        <v>3.033012064</v>
      </c>
      <c r="G240" s="20">
        <f>IFERROR(__xludf.DUMMYFUNCTION("""COMPUTED_VALUE"""),1.049988)</f>
        <v>1.049988</v>
      </c>
      <c r="H240" s="23"/>
      <c r="J240" s="22"/>
    </row>
    <row r="241">
      <c r="A241" s="19">
        <f>IFERROR(__xludf.DUMMYFUNCTION("""COMPUTED_VALUE"""),44801.0)</f>
        <v>44801</v>
      </c>
      <c r="B241" s="20">
        <f>IFERROR(__xludf.DUMMYFUNCTION("""COMPUTED_VALUE"""),2.850125)</f>
        <v>2.850125</v>
      </c>
      <c r="C241" s="21">
        <f>IFERROR(__xludf.DUMMYFUNCTION("""COMPUTED_VALUE"""),1.895)</f>
        <v>1.895</v>
      </c>
      <c r="D241" s="21">
        <f>IFERROR(__xludf.DUMMYFUNCTION("""COMPUTED_VALUE"""),3.6835)</f>
        <v>3.6835</v>
      </c>
      <c r="E241" s="20">
        <f>IFERROR(__xludf.DUMMYFUNCTION("""COMPUTED_VALUE"""),2.7313676)</f>
        <v>2.7313676</v>
      </c>
      <c r="F241" s="20">
        <f>IFERROR(__xludf.DUMMYFUNCTION("""COMPUTED_VALUE"""),3.1679570249999998)</f>
        <v>3.167957025</v>
      </c>
      <c r="G241" s="20">
        <f>IFERROR(__xludf.DUMMYFUNCTION("""COMPUTED_VALUE"""),1.049988)</f>
        <v>1.049988</v>
      </c>
      <c r="H241" s="23"/>
      <c r="J241" s="22"/>
    </row>
    <row r="242">
      <c r="A242" s="19">
        <f>IFERROR(__xludf.DUMMYFUNCTION("""COMPUTED_VALUE"""),44802.0)</f>
        <v>44802</v>
      </c>
      <c r="B242" s="20">
        <f>IFERROR(__xludf.DUMMYFUNCTION("""COMPUTED_VALUE"""),2.848875)</f>
        <v>2.848875</v>
      </c>
      <c r="C242" s="21">
        <f>IFERROR(__xludf.DUMMYFUNCTION("""COMPUTED_VALUE"""),1.89)</f>
        <v>1.89</v>
      </c>
      <c r="D242" s="21">
        <f>IFERROR(__xludf.DUMMYFUNCTION("""COMPUTED_VALUE"""),3.6835)</f>
        <v>3.6835</v>
      </c>
      <c r="E242" s="20">
        <f>IFERROR(__xludf.DUMMYFUNCTION("""COMPUTED_VALUE"""),2.8082363999999997)</f>
        <v>2.8082364</v>
      </c>
      <c r="F242" s="20">
        <f>IFERROR(__xludf.DUMMYFUNCTION("""COMPUTED_VALUE"""),3.1902038535714285)</f>
        <v>3.190203854</v>
      </c>
      <c r="G242" s="20">
        <f>IFERROR(__xludf.DUMMYFUNCTION("""COMPUTED_VALUE"""),1.049988)</f>
        <v>1.049988</v>
      </c>
      <c r="H242" s="23"/>
      <c r="J242" s="22"/>
    </row>
    <row r="243">
      <c r="A243" s="19">
        <f>IFERROR(__xludf.DUMMYFUNCTION("""COMPUTED_VALUE"""),44803.0)</f>
        <v>44803</v>
      </c>
      <c r="B243" s="20">
        <f>IFERROR(__xludf.DUMMYFUNCTION("""COMPUTED_VALUE"""),2.848875)</f>
        <v>2.848875</v>
      </c>
      <c r="C243" s="21">
        <f>IFERROR(__xludf.DUMMYFUNCTION("""COMPUTED_VALUE"""),1.89)</f>
        <v>1.89</v>
      </c>
      <c r="D243" s="21">
        <f>IFERROR(__xludf.DUMMYFUNCTION("""COMPUTED_VALUE"""),3.6835)</f>
        <v>3.6835</v>
      </c>
      <c r="E243" s="20">
        <f>IFERROR(__xludf.DUMMYFUNCTION("""COMPUTED_VALUE"""),2.7751840999999997)</f>
        <v>2.7751841</v>
      </c>
      <c r="F243" s="20">
        <f>IFERROR(__xludf.DUMMYFUNCTION("""COMPUTED_VALUE"""),3.1734102035714287)</f>
        <v>3.173410204</v>
      </c>
      <c r="G243" s="20">
        <f>IFERROR(__xludf.DUMMYFUNCTION("""COMPUTED_VALUE"""),1.049988)</f>
        <v>1.049988</v>
      </c>
      <c r="H243" s="23"/>
      <c r="J243" s="22"/>
    </row>
    <row r="244">
      <c r="A244" s="19">
        <f>IFERROR(__xludf.DUMMYFUNCTION("""COMPUTED_VALUE"""),44804.0)</f>
        <v>44804</v>
      </c>
      <c r="B244" s="20">
        <f>IFERROR(__xludf.DUMMYFUNCTION("""COMPUTED_VALUE"""),2.848875)</f>
        <v>2.848875</v>
      </c>
      <c r="C244" s="21">
        <f>IFERROR(__xludf.DUMMYFUNCTION("""COMPUTED_VALUE"""),1.89)</f>
        <v>1.89</v>
      </c>
      <c r="D244" s="21">
        <f>IFERROR(__xludf.DUMMYFUNCTION("""COMPUTED_VALUE"""),3.6835)</f>
        <v>3.6835</v>
      </c>
      <c r="E244" s="20">
        <f>IFERROR(__xludf.DUMMYFUNCTION("""COMPUTED_VALUE"""),2.7388362)</f>
        <v>2.7388362</v>
      </c>
      <c r="F244" s="20">
        <f>IFERROR(__xludf.DUMMYFUNCTION("""COMPUTED_VALUE"""),3.075767735714286)</f>
        <v>3.075767736</v>
      </c>
      <c r="G244" s="20">
        <f>IFERROR(__xludf.DUMMYFUNCTION("""COMPUTED_VALUE"""),1.049988)</f>
        <v>1.049988</v>
      </c>
      <c r="H244" s="23"/>
      <c r="J244" s="22"/>
    </row>
    <row r="245">
      <c r="A245" s="19">
        <f>IFERROR(__xludf.DUMMYFUNCTION("""COMPUTED_VALUE"""),44805.0)</f>
        <v>44805</v>
      </c>
      <c r="B245" s="20">
        <f>IFERROR(__xludf.DUMMYFUNCTION("""COMPUTED_VALUE"""),2.848875)</f>
        <v>2.848875</v>
      </c>
      <c r="C245" s="21">
        <f>IFERROR(__xludf.DUMMYFUNCTION("""COMPUTED_VALUE"""),1.89)</f>
        <v>1.89</v>
      </c>
      <c r="D245" s="21">
        <f>IFERROR(__xludf.DUMMYFUNCTION("""COMPUTED_VALUE"""),3.6835)</f>
        <v>3.6835</v>
      </c>
      <c r="E245" s="20">
        <f>IFERROR(__xludf.DUMMYFUNCTION("IMPORTRANGE(""https://docs.google.com/spreadsheets/d/1Bx2qPedWMp9EBLyWYVrR94ZGYP1xlQFz87aI4pz5hUU/edit#gid=42738729"",""Dati Confronto gas (ridotto)!n245:n5000"")"),2.57977)</f>
        <v>2.57977</v>
      </c>
      <c r="F245" s="20">
        <f>IFERROR(__xludf.DUMMYFUNCTION("""COMPUTED_VALUE"""),2.9389861964285715)</f>
        <v>2.938986196</v>
      </c>
      <c r="G245" s="20">
        <f>IFERROR(__xludf.DUMMYFUNCTION("""COMPUTED_VALUE"""),1.049988)</f>
        <v>1.049988</v>
      </c>
      <c r="H245" s="23"/>
      <c r="J245" s="22"/>
    </row>
    <row r="246">
      <c r="A246" s="19">
        <f>IFERROR(__xludf.DUMMYFUNCTION("""COMPUTED_VALUE"""),44806.0)</f>
        <v>44806</v>
      </c>
      <c r="B246" s="20">
        <f>IFERROR(__xludf.DUMMYFUNCTION("""COMPUTED_VALUE"""),2.848875)</f>
        <v>2.848875</v>
      </c>
      <c r="C246" s="21">
        <f>IFERROR(__xludf.DUMMYFUNCTION("""COMPUTED_VALUE"""),1.89)</f>
        <v>1.89</v>
      </c>
      <c r="D246" s="21">
        <f>IFERROR(__xludf.DUMMYFUNCTION("""COMPUTED_VALUE"""),3.6835)</f>
        <v>3.6835</v>
      </c>
      <c r="E246" s="20">
        <f>IFERROR(__xludf.DUMMYFUNCTION("""COMPUTED_VALUE"""),2.52841)</f>
        <v>2.52841</v>
      </c>
      <c r="F246" s="20">
        <f>IFERROR(__xludf.DUMMYFUNCTION("""COMPUTED_VALUE"""),2.7441934607142855)</f>
        <v>2.744193461</v>
      </c>
      <c r="G246" s="20">
        <f>IFERROR(__xludf.DUMMYFUNCTION("""COMPUTED_VALUE"""),1.049988)</f>
        <v>1.049988</v>
      </c>
      <c r="H246" s="23"/>
      <c r="J246" s="22"/>
    </row>
    <row r="247">
      <c r="A247" s="19">
        <f>IFERROR(__xludf.DUMMYFUNCTION("""COMPUTED_VALUE"""),44807.0)</f>
        <v>44807</v>
      </c>
      <c r="B247" s="20">
        <f>IFERROR(__xludf.DUMMYFUNCTION("""COMPUTED_VALUE"""),2.848875)</f>
        <v>2.848875</v>
      </c>
      <c r="C247" s="21">
        <f>IFERROR(__xludf.DUMMYFUNCTION("""COMPUTED_VALUE"""),1.89)</f>
        <v>1.89</v>
      </c>
      <c r="D247" s="21">
        <f>IFERROR(__xludf.DUMMYFUNCTION("""COMPUTED_VALUE"""),3.6835)</f>
        <v>3.6835</v>
      </c>
      <c r="E247" s="20">
        <f>IFERROR(__xludf.DUMMYFUNCTION("""COMPUTED_VALUE"""),2.40964)</f>
        <v>2.40964</v>
      </c>
      <c r="F247" s="20">
        <f>IFERROR(__xludf.DUMMYFUNCTION("""COMPUTED_VALUE"""),2.5494007250000004)</f>
        <v>2.549400725</v>
      </c>
      <c r="G247" s="20">
        <f>IFERROR(__xludf.DUMMYFUNCTION("""COMPUTED_VALUE"""),1.049988)</f>
        <v>1.049988</v>
      </c>
      <c r="H247" s="23"/>
      <c r="J247" s="22"/>
    </row>
    <row r="248">
      <c r="A248" s="19">
        <f>IFERROR(__xludf.DUMMYFUNCTION("""COMPUTED_VALUE"""),44808.0)</f>
        <v>44808</v>
      </c>
      <c r="B248" s="20">
        <f>IFERROR(__xludf.DUMMYFUNCTION("""COMPUTED_VALUE"""),2.848875)</f>
        <v>2.848875</v>
      </c>
      <c r="C248" s="21">
        <f>IFERROR(__xludf.DUMMYFUNCTION("""COMPUTED_VALUE"""),1.89)</f>
        <v>1.89</v>
      </c>
      <c r="D248" s="21">
        <f>IFERROR(__xludf.DUMMYFUNCTION("""COMPUTED_VALUE"""),3.6835)</f>
        <v>3.6835</v>
      </c>
      <c r="E248" s="20">
        <f>IFERROR(__xludf.DUMMYFUNCTION("""COMPUTED_VALUE"""),2.350255)</f>
        <v>2.350255</v>
      </c>
      <c r="F248" s="20">
        <f>IFERROR(__xludf.DUMMYFUNCTION("""COMPUTED_VALUE"""),2.354607989285714)</f>
        <v>2.354607989</v>
      </c>
      <c r="G248" s="20">
        <f>IFERROR(__xludf.DUMMYFUNCTION("""COMPUTED_VALUE"""),1.049988)</f>
        <v>1.049988</v>
      </c>
      <c r="H248" s="23"/>
      <c r="J248" s="22"/>
    </row>
    <row r="249">
      <c r="A249" s="19">
        <f>IFERROR(__xludf.DUMMYFUNCTION("""COMPUTED_VALUE"""),44809.0)</f>
        <v>44809</v>
      </c>
      <c r="B249" s="20">
        <f>IFERROR(__xludf.DUMMYFUNCTION("""COMPUTED_VALUE"""),2.848875)</f>
        <v>2.848875</v>
      </c>
      <c r="C249" s="21">
        <f>IFERROR(__xludf.DUMMYFUNCTION("""COMPUTED_VALUE"""),1.89)</f>
        <v>1.89</v>
      </c>
      <c r="D249" s="21">
        <f>IFERROR(__xludf.DUMMYFUNCTION("""COMPUTED_VALUE"""),3.6835)</f>
        <v>3.6835</v>
      </c>
      <c r="E249" s="20">
        <f>IFERROR(__xludf.DUMMYFUNCTION("""COMPUTED_VALUE"""),2.315694)</f>
        <v>2.315694</v>
      </c>
      <c r="F249" s="20">
        <f>IFERROR(__xludf.DUMMYFUNCTION("""COMPUTED_VALUE"""),2.272714775)</f>
        <v>2.272714775</v>
      </c>
      <c r="G249" s="20">
        <f>IFERROR(__xludf.DUMMYFUNCTION("""COMPUTED_VALUE"""),1.049988)</f>
        <v>1.049988</v>
      </c>
      <c r="H249" s="23"/>
      <c r="J249" s="22"/>
    </row>
    <row r="250">
      <c r="A250" s="19">
        <f>IFERROR(__xludf.DUMMYFUNCTION("""COMPUTED_VALUE"""),44810.0)</f>
        <v>44810</v>
      </c>
      <c r="B250" s="20">
        <f>IFERROR(__xludf.DUMMYFUNCTION("""COMPUTED_VALUE"""),2.848875)</f>
        <v>2.848875</v>
      </c>
      <c r="C250" s="21">
        <f>IFERROR(__xludf.DUMMYFUNCTION("""COMPUTED_VALUE"""),1.89)</f>
        <v>1.89</v>
      </c>
      <c r="D250" s="21">
        <f>IFERROR(__xludf.DUMMYFUNCTION("""COMPUTED_VALUE"""),3.6835)</f>
        <v>3.6835</v>
      </c>
      <c r="E250" s="20">
        <f>IFERROR(__xludf.DUMMYFUNCTION("""COMPUTED_VALUE"""),2.346331666666667)</f>
        <v>2.346331667</v>
      </c>
      <c r="F250" s="20">
        <f>IFERROR(__xludf.DUMMYFUNCTION("""COMPUTED_VALUE"""),2.238756796428571)</f>
        <v>2.238756796</v>
      </c>
      <c r="G250" s="20">
        <f>IFERROR(__xludf.DUMMYFUNCTION("""COMPUTED_VALUE"""),1.049988)</f>
        <v>1.049988</v>
      </c>
      <c r="H250" s="23"/>
      <c r="J250" s="22"/>
    </row>
    <row r="251">
      <c r="A251" s="19">
        <f>IFERROR(__xludf.DUMMYFUNCTION("""COMPUTED_VALUE"""),44811.0)</f>
        <v>44811</v>
      </c>
      <c r="B251" s="20">
        <f>IFERROR(__xludf.DUMMYFUNCTION("""COMPUTED_VALUE"""),2.848875)</f>
        <v>2.848875</v>
      </c>
      <c r="C251" s="21">
        <f>IFERROR(__xludf.DUMMYFUNCTION("""COMPUTED_VALUE"""),1.89)</f>
        <v>1.89</v>
      </c>
      <c r="D251" s="21">
        <f>IFERROR(__xludf.DUMMYFUNCTION("""COMPUTED_VALUE"""),3.6835)</f>
        <v>3.6835</v>
      </c>
      <c r="E251" s="20">
        <f>IFERROR(__xludf.DUMMYFUNCTION("""COMPUTED_VALUE"""),2.3520128571428573)</f>
        <v>2.352012857</v>
      </c>
      <c r="F251" s="20">
        <f>IFERROR(__xludf.DUMMYFUNCTION("""COMPUTED_VALUE"""),2.2250883107142854)</f>
        <v>2.225088311</v>
      </c>
      <c r="G251" s="20">
        <f>IFERROR(__xludf.DUMMYFUNCTION("""COMPUTED_VALUE"""),1.049988)</f>
        <v>1.049988</v>
      </c>
      <c r="H251" s="23"/>
      <c r="J251" s="22"/>
    </row>
    <row r="252">
      <c r="A252" s="19">
        <f>IFERROR(__xludf.DUMMYFUNCTION("""COMPUTED_VALUE"""),44812.0)</f>
        <v>44812</v>
      </c>
      <c r="B252" s="20">
        <f>IFERROR(__xludf.DUMMYFUNCTION("""COMPUTED_VALUE"""),2.848875)</f>
        <v>2.848875</v>
      </c>
      <c r="C252" s="21">
        <f>IFERROR(__xludf.DUMMYFUNCTION("""COMPUTED_VALUE"""),1.89)</f>
        <v>1.89</v>
      </c>
      <c r="D252" s="21">
        <f>IFERROR(__xludf.DUMMYFUNCTION("""COMPUTED_VALUE"""),3.6835)</f>
        <v>3.6835</v>
      </c>
      <c r="E252" s="20">
        <f>IFERROR(__xludf.DUMMYFUNCTION("""COMPUTED_VALUE"""),2.3079899999999998)</f>
        <v>2.30799</v>
      </c>
      <c r="F252" s="20">
        <f>IFERROR(__xludf.DUMMYFUNCTION("""COMPUTED_VALUE"""),2.21688485)</f>
        <v>2.21688485</v>
      </c>
      <c r="G252" s="20">
        <f>IFERROR(__xludf.DUMMYFUNCTION("""COMPUTED_VALUE"""),1.049988)</f>
        <v>1.049988</v>
      </c>
      <c r="H252" s="23"/>
      <c r="J252" s="22"/>
    </row>
    <row r="253">
      <c r="A253" s="19">
        <f>IFERROR(__xludf.DUMMYFUNCTION("""COMPUTED_VALUE"""),44813.0)</f>
        <v>44813</v>
      </c>
      <c r="B253" s="20">
        <f>IFERROR(__xludf.DUMMYFUNCTION("""COMPUTED_VALUE"""),2.848875)</f>
        <v>2.848875</v>
      </c>
      <c r="C253" s="21">
        <f>IFERROR(__xludf.DUMMYFUNCTION("""COMPUTED_VALUE"""),1.89)</f>
        <v>1.89</v>
      </c>
      <c r="D253" s="21">
        <f>IFERROR(__xludf.DUMMYFUNCTION("""COMPUTED_VALUE"""),3.6835)</f>
        <v>3.6835</v>
      </c>
      <c r="E253" s="20">
        <f>IFERROR(__xludf.DUMMYFUNCTION("""COMPUTED_VALUE"""),2.267482857142857)</f>
        <v>2.267482857</v>
      </c>
      <c r="F253" s="20">
        <f>IFERROR(__xludf.DUMMYFUNCTION("""COMPUTED_VALUE"""),2.22012695)</f>
        <v>2.22012695</v>
      </c>
      <c r="G253" s="20">
        <f>IFERROR(__xludf.DUMMYFUNCTION("""COMPUTED_VALUE"""),1.049988)</f>
        <v>1.049988</v>
      </c>
      <c r="H253" s="23"/>
      <c r="J253" s="22"/>
    </row>
    <row r="254">
      <c r="A254" s="19">
        <f>IFERROR(__xludf.DUMMYFUNCTION("""COMPUTED_VALUE"""),44814.0)</f>
        <v>44814</v>
      </c>
      <c r="B254" s="20">
        <f>IFERROR(__xludf.DUMMYFUNCTION("""COMPUTED_VALUE"""),2.848875)</f>
        <v>2.848875</v>
      </c>
      <c r="C254" s="21">
        <f>IFERROR(__xludf.DUMMYFUNCTION("""COMPUTED_VALUE"""),1.89)</f>
        <v>1.89</v>
      </c>
      <c r="D254" s="21">
        <f>IFERROR(__xludf.DUMMYFUNCTION("""COMPUTED_VALUE"""),3.6835)</f>
        <v>3.6835</v>
      </c>
      <c r="E254" s="20">
        <f>IFERROR(__xludf.DUMMYFUNCTION("""COMPUTED_VALUE"""),2.2338542857142856)</f>
        <v>2.233854286</v>
      </c>
      <c r="F254" s="20">
        <f>IFERROR(__xludf.DUMMYFUNCTION("""COMPUTED_VALUE"""),2.22336905)</f>
        <v>2.22336905</v>
      </c>
      <c r="G254" s="20">
        <f>IFERROR(__xludf.DUMMYFUNCTION("""COMPUTED_VALUE"""),1.049988)</f>
        <v>1.049988</v>
      </c>
      <c r="H254" s="23"/>
      <c r="J254" s="22"/>
    </row>
    <row r="255">
      <c r="A255" s="19">
        <f>IFERROR(__xludf.DUMMYFUNCTION("""COMPUTED_VALUE"""),44815.0)</f>
        <v>44815</v>
      </c>
      <c r="B255" s="20">
        <f>IFERROR(__xludf.DUMMYFUNCTION("""COMPUTED_VALUE"""),2.848875)</f>
        <v>2.848875</v>
      </c>
      <c r="C255" s="21">
        <f>IFERROR(__xludf.DUMMYFUNCTION("""COMPUTED_VALUE"""),1.89)</f>
        <v>1.89</v>
      </c>
      <c r="D255" s="21">
        <f>IFERROR(__xludf.DUMMYFUNCTION("""COMPUTED_VALUE"""),3.6835)</f>
        <v>3.6835</v>
      </c>
      <c r="E255" s="20">
        <f>IFERROR(__xludf.DUMMYFUNCTION("""COMPUTED_VALUE"""),2.2002257142857142)</f>
        <v>2.200225714</v>
      </c>
      <c r="F255" s="20">
        <f>IFERROR(__xludf.DUMMYFUNCTION("""COMPUTED_VALUE"""),2.2266111500000005)</f>
        <v>2.22661115</v>
      </c>
      <c r="G255" s="20">
        <f>IFERROR(__xludf.DUMMYFUNCTION("""COMPUTED_VALUE"""),1.049988)</f>
        <v>1.049988</v>
      </c>
      <c r="H255" s="23"/>
      <c r="J255" s="22"/>
    </row>
    <row r="256">
      <c r="A256" s="19">
        <f>IFERROR(__xludf.DUMMYFUNCTION("""COMPUTED_VALUE"""),44816.0)</f>
        <v>44816</v>
      </c>
      <c r="B256" s="20">
        <f>IFERROR(__xludf.DUMMYFUNCTION("""COMPUTED_VALUE"""),3.0588)</f>
        <v>3.0588</v>
      </c>
      <c r="C256" s="21">
        <f>IFERROR(__xludf.DUMMYFUNCTION("""COMPUTED_VALUE"""),2.471)</f>
        <v>2.471</v>
      </c>
      <c r="D256" s="21">
        <f>IFERROR(__xludf.DUMMYFUNCTION("""COMPUTED_VALUE"""),3.351)</f>
        <v>3.351</v>
      </c>
      <c r="E256" s="20">
        <f>IFERROR(__xludf.DUMMYFUNCTION("""COMPUTED_VALUE"""),2.173475714285714)</f>
        <v>2.173475714</v>
      </c>
      <c r="F256" s="20">
        <f>IFERROR(__xludf.DUMMYFUNCTION("""COMPUTED_VALUE"""),2.1671443714285714)</f>
        <v>2.167144371</v>
      </c>
      <c r="G256" s="20">
        <f>IFERROR(__xludf.DUMMYFUNCTION("""COMPUTED_VALUE"""),1.049988)</f>
        <v>1.049988</v>
      </c>
      <c r="H256" s="23"/>
      <c r="J256" s="22"/>
    </row>
    <row r="257">
      <c r="A257" s="19">
        <f>IFERROR(__xludf.DUMMYFUNCTION("""COMPUTED_VALUE"""),44817.0)</f>
        <v>44817</v>
      </c>
      <c r="B257" s="20">
        <f>IFERROR(__xludf.DUMMYFUNCTION("""COMPUTED_VALUE"""),3.0588)</f>
        <v>3.0588</v>
      </c>
      <c r="C257" s="21">
        <f>IFERROR(__xludf.DUMMYFUNCTION("""COMPUTED_VALUE"""),2.471)</f>
        <v>2.471</v>
      </c>
      <c r="D257" s="21">
        <f>IFERROR(__xludf.DUMMYFUNCTION("""COMPUTED_VALUE"""),3.351)</f>
        <v>3.351</v>
      </c>
      <c r="E257" s="20">
        <f>IFERROR(__xludf.DUMMYFUNCTION("""COMPUTED_VALUE"""),2.105607142857143)</f>
        <v>2.105607143</v>
      </c>
      <c r="F257" s="20">
        <f>IFERROR(__xludf.DUMMYFUNCTION("""COMPUTED_VALUE"""),2.1158982500000003)</f>
        <v>2.11589825</v>
      </c>
      <c r="G257" s="20">
        <f>IFERROR(__xludf.DUMMYFUNCTION("""COMPUTED_VALUE"""),1.049988)</f>
        <v>1.049988</v>
      </c>
      <c r="H257" s="23"/>
      <c r="J257" s="22"/>
    </row>
    <row r="258">
      <c r="A258" s="19">
        <f>IFERROR(__xludf.DUMMYFUNCTION("""COMPUTED_VALUE"""),44818.0)</f>
        <v>44818</v>
      </c>
      <c r="B258" s="20">
        <f>IFERROR(__xludf.DUMMYFUNCTION("""COMPUTED_VALUE"""),3.0588)</f>
        <v>3.0588</v>
      </c>
      <c r="C258" s="21">
        <f>IFERROR(__xludf.DUMMYFUNCTION("""COMPUTED_VALUE"""),2.471)</f>
        <v>2.471</v>
      </c>
      <c r="D258" s="21">
        <f>IFERROR(__xludf.DUMMYFUNCTION("""COMPUTED_VALUE"""),3.351)</f>
        <v>3.351</v>
      </c>
      <c r="E258" s="20">
        <f>IFERROR(__xludf.DUMMYFUNCTION("""COMPUTED_VALUE"""),2.062042857142857)</f>
        <v>2.062042857</v>
      </c>
      <c r="F258" s="20">
        <f>IFERROR(__xludf.DUMMYFUNCTION("""COMPUTED_VALUE"""),2.1201790142857146)</f>
        <v>2.120179014</v>
      </c>
      <c r="G258" s="20">
        <f>IFERROR(__xludf.DUMMYFUNCTION("""COMPUTED_VALUE"""),1.049988)</f>
        <v>1.049988</v>
      </c>
      <c r="H258" s="23"/>
      <c r="J258" s="22"/>
    </row>
    <row r="259">
      <c r="A259" s="19">
        <f>IFERROR(__xludf.DUMMYFUNCTION("""COMPUTED_VALUE"""),44819.0)</f>
        <v>44819</v>
      </c>
      <c r="B259" s="20">
        <f>IFERROR(__xludf.DUMMYFUNCTION("""COMPUTED_VALUE"""),3.0588)</f>
        <v>3.0588</v>
      </c>
      <c r="C259" s="21">
        <f>IFERROR(__xludf.DUMMYFUNCTION("""COMPUTED_VALUE"""),2.471)</f>
        <v>2.471</v>
      </c>
      <c r="D259" s="21">
        <f>IFERROR(__xludf.DUMMYFUNCTION("""COMPUTED_VALUE"""),3.351)</f>
        <v>3.351</v>
      </c>
      <c r="E259" s="20">
        <f>IFERROR(__xludf.DUMMYFUNCTION("""COMPUTED_VALUE"""),2.0586800000000003)</f>
        <v>2.05868</v>
      </c>
      <c r="F259" s="20">
        <f>IFERROR(__xludf.DUMMYFUNCTION("""COMPUTED_VALUE"""),2.123558685714286)</f>
        <v>2.123558686</v>
      </c>
      <c r="G259" s="20">
        <f>IFERROR(__xludf.DUMMYFUNCTION("""COMPUTED_VALUE"""),1.049988)</f>
        <v>1.049988</v>
      </c>
      <c r="H259" s="23"/>
      <c r="J259" s="22"/>
    </row>
    <row r="260">
      <c r="A260" s="19">
        <f>IFERROR(__xludf.DUMMYFUNCTION("""COMPUTED_VALUE"""),44820.0)</f>
        <v>44820</v>
      </c>
      <c r="B260" s="20">
        <f>IFERROR(__xludf.DUMMYFUNCTION("""COMPUTED_VALUE"""),3.0588)</f>
        <v>3.0588</v>
      </c>
      <c r="C260" s="21">
        <f>IFERROR(__xludf.DUMMYFUNCTION("""COMPUTED_VALUE"""),2.471)</f>
        <v>2.471</v>
      </c>
      <c r="D260" s="21">
        <f>IFERROR(__xludf.DUMMYFUNCTION("""COMPUTED_VALUE"""),3.351)</f>
        <v>3.351</v>
      </c>
      <c r="E260" s="20">
        <f>IFERROR(__xludf.DUMMYFUNCTION("""COMPUTED_VALUE"""),2.056387142857143)</f>
        <v>2.056387143</v>
      </c>
      <c r="F260" s="20">
        <f>IFERROR(__xludf.DUMMYFUNCTION("""COMPUTED_VALUE"""),2.10580815)</f>
        <v>2.10580815</v>
      </c>
      <c r="G260" s="20">
        <f>IFERROR(__xludf.DUMMYFUNCTION("""COMPUTED_VALUE"""),1.049988)</f>
        <v>1.049988</v>
      </c>
      <c r="H260" s="23"/>
      <c r="J260" s="22"/>
    </row>
    <row r="261">
      <c r="A261" s="19">
        <f>IFERROR(__xludf.DUMMYFUNCTION("""COMPUTED_VALUE"""),44821.0)</f>
        <v>44821</v>
      </c>
      <c r="B261" s="20">
        <f>IFERROR(__xludf.DUMMYFUNCTION("""COMPUTED_VALUE"""),3.0588)</f>
        <v>3.0588</v>
      </c>
      <c r="C261" s="21">
        <f>IFERROR(__xludf.DUMMYFUNCTION("""COMPUTED_VALUE"""),2.471)</f>
        <v>2.471</v>
      </c>
      <c r="D261" s="21">
        <f>IFERROR(__xludf.DUMMYFUNCTION("""COMPUTED_VALUE"""),3.351)</f>
        <v>3.351</v>
      </c>
      <c r="E261" s="20">
        <f>IFERROR(__xludf.DUMMYFUNCTION("""COMPUTED_VALUE"""),2.021535714285714)</f>
        <v>2.021535714</v>
      </c>
      <c r="F261" s="20">
        <f>IFERROR(__xludf.DUMMYFUNCTION("""COMPUTED_VALUE"""),2.0880576142857143)</f>
        <v>2.088057614</v>
      </c>
      <c r="G261" s="20">
        <f>IFERROR(__xludf.DUMMYFUNCTION("""COMPUTED_VALUE"""),1.049988)</f>
        <v>1.049988</v>
      </c>
      <c r="H261" s="23"/>
      <c r="J261" s="22"/>
    </row>
    <row r="262">
      <c r="A262" s="19">
        <f>IFERROR(__xludf.DUMMYFUNCTION("""COMPUTED_VALUE"""),44822.0)</f>
        <v>44822</v>
      </c>
      <c r="B262" s="20">
        <f>IFERROR(__xludf.DUMMYFUNCTION("""COMPUTED_VALUE"""),3.0588)</f>
        <v>3.0588</v>
      </c>
      <c r="C262" s="21">
        <f>IFERROR(__xludf.DUMMYFUNCTION("""COMPUTED_VALUE"""),2.471)</f>
        <v>2.471</v>
      </c>
      <c r="D262" s="21">
        <f>IFERROR(__xludf.DUMMYFUNCTION("""COMPUTED_VALUE"""),3.351)</f>
        <v>3.351</v>
      </c>
      <c r="E262" s="20">
        <f>IFERROR(__xludf.DUMMYFUNCTION("""COMPUTED_VALUE"""),1.986684285714286)</f>
        <v>1.986684286</v>
      </c>
      <c r="F262" s="20">
        <f>IFERROR(__xludf.DUMMYFUNCTION("""COMPUTED_VALUE"""),2.0703070785714286)</f>
        <v>2.070307079</v>
      </c>
      <c r="G262" s="20">
        <f>IFERROR(__xludf.DUMMYFUNCTION("""COMPUTED_VALUE"""),1.049988)</f>
        <v>1.049988</v>
      </c>
      <c r="H262" s="23"/>
      <c r="J262" s="22"/>
    </row>
    <row r="263">
      <c r="A263" s="19">
        <f>IFERROR(__xludf.DUMMYFUNCTION("""COMPUTED_VALUE"""),44823.0)</f>
        <v>44823</v>
      </c>
      <c r="B263" s="20">
        <f>IFERROR(__xludf.DUMMYFUNCTION("""COMPUTED_VALUE"""),2.9726666666666666)</f>
        <v>2.972666667</v>
      </c>
      <c r="C263" s="21">
        <f>IFERROR(__xludf.DUMMYFUNCTION("""COMPUTED_VALUE"""),2.378)</f>
        <v>2.378</v>
      </c>
      <c r="D263" s="21">
        <f>IFERROR(__xludf.DUMMYFUNCTION("""COMPUTED_VALUE"""),3.27)</f>
        <v>3.27</v>
      </c>
      <c r="E263" s="20">
        <f>IFERROR(__xludf.DUMMYFUNCTION("""COMPUTED_VALUE"""),1.9469414285714284)</f>
        <v>1.946941429</v>
      </c>
      <c r="F263" s="20">
        <f>IFERROR(__xludf.DUMMYFUNCTION("""COMPUTED_VALUE"""),2.069002442857143)</f>
        <v>2.069002443</v>
      </c>
      <c r="G263" s="20">
        <f>IFERROR(__xludf.DUMMYFUNCTION("""COMPUTED_VALUE"""),1.049988)</f>
        <v>1.049988</v>
      </c>
      <c r="H263" s="23"/>
      <c r="J263" s="22"/>
    </row>
    <row r="264">
      <c r="A264" s="19">
        <f>IFERROR(__xludf.DUMMYFUNCTION("""COMPUTED_VALUE"""),44824.0)</f>
        <v>44824</v>
      </c>
      <c r="B264" s="20">
        <f>IFERROR(__xludf.DUMMYFUNCTION("""COMPUTED_VALUE"""),2.9726666666666666)</f>
        <v>2.972666667</v>
      </c>
      <c r="C264" s="21">
        <f>IFERROR(__xludf.DUMMYFUNCTION("""COMPUTED_VALUE"""),2.378)</f>
        <v>2.378</v>
      </c>
      <c r="D264" s="21">
        <f>IFERROR(__xludf.DUMMYFUNCTION("""COMPUTED_VALUE"""),3.27)</f>
        <v>3.27</v>
      </c>
      <c r="E264" s="20">
        <f>IFERROR(__xludf.DUMMYFUNCTION("""COMPUTED_VALUE"""),1.9162171428571428)</f>
        <v>1.916217143</v>
      </c>
      <c r="F264" s="20">
        <f>IFERROR(__xludf.DUMMYFUNCTION("""COMPUTED_VALUE"""),2.0755214178571424)</f>
        <v>2.075521418</v>
      </c>
      <c r="G264" s="20">
        <f>IFERROR(__xludf.DUMMYFUNCTION("""COMPUTED_VALUE"""),1.049988)</f>
        <v>1.049988</v>
      </c>
      <c r="H264" s="23"/>
      <c r="J264" s="22"/>
    </row>
    <row r="265">
      <c r="A265" s="19">
        <f>IFERROR(__xludf.DUMMYFUNCTION("""COMPUTED_VALUE"""),44825.0)</f>
        <v>44825</v>
      </c>
      <c r="B265" s="20">
        <f>IFERROR(__xludf.DUMMYFUNCTION("""COMPUTED_VALUE"""),2.9726666666666666)</f>
        <v>2.972666667</v>
      </c>
      <c r="C265" s="21">
        <f>IFERROR(__xludf.DUMMYFUNCTION("""COMPUTED_VALUE"""),2.378)</f>
        <v>2.378</v>
      </c>
      <c r="D265" s="21">
        <f>IFERROR(__xludf.DUMMYFUNCTION("""COMPUTED_VALUE"""),3.27)</f>
        <v>3.27</v>
      </c>
      <c r="E265" s="20">
        <f>IFERROR(__xludf.DUMMYFUNCTION("""COMPUTED_VALUE"""),1.8835057142857141)</f>
        <v>1.883505714</v>
      </c>
      <c r="F265" s="20">
        <f>IFERROR(__xludf.DUMMYFUNCTION("""COMPUTED_VALUE"""),2.0558922678571427)</f>
        <v>2.055892268</v>
      </c>
      <c r="G265" s="20">
        <f>IFERROR(__xludf.DUMMYFUNCTION("""COMPUTED_VALUE"""),1.049988)</f>
        <v>1.049988</v>
      </c>
      <c r="H265" s="23"/>
      <c r="J265" s="22"/>
    </row>
    <row r="266">
      <c r="A266" s="19">
        <f>IFERROR(__xludf.DUMMYFUNCTION("""COMPUTED_VALUE"""),44826.0)</f>
        <v>44826</v>
      </c>
      <c r="B266" s="20">
        <f>IFERROR(__xludf.DUMMYFUNCTION("""COMPUTED_VALUE"""),2.9726666666666666)</f>
        <v>2.972666667</v>
      </c>
      <c r="C266" s="21">
        <f>IFERROR(__xludf.DUMMYFUNCTION("""COMPUTED_VALUE"""),2.378)</f>
        <v>2.378</v>
      </c>
      <c r="D266" s="21">
        <f>IFERROR(__xludf.DUMMYFUNCTION("""COMPUTED_VALUE"""),3.27)</f>
        <v>3.27</v>
      </c>
      <c r="E266" s="20">
        <f>IFERROR(__xludf.DUMMYFUNCTION("""COMPUTED_VALUE"""),1.839788571428571)</f>
        <v>1.839788571</v>
      </c>
      <c r="F266" s="20">
        <f>IFERROR(__xludf.DUMMYFUNCTION("""COMPUTED_VALUE"""),2.0253449142857143)</f>
        <v>2.025344914</v>
      </c>
      <c r="G266" s="20">
        <f>IFERROR(__xludf.DUMMYFUNCTION("""COMPUTED_VALUE"""),1.049988)</f>
        <v>1.049988</v>
      </c>
      <c r="H266" s="23"/>
      <c r="J266" s="22"/>
    </row>
    <row r="267">
      <c r="A267" s="19">
        <f>IFERROR(__xludf.DUMMYFUNCTION("""COMPUTED_VALUE"""),44827.0)</f>
        <v>44827</v>
      </c>
      <c r="B267" s="20">
        <f>IFERROR(__xludf.DUMMYFUNCTION("""COMPUTED_VALUE"""),2.9726666666666666)</f>
        <v>2.972666667</v>
      </c>
      <c r="C267" s="21">
        <f>IFERROR(__xludf.DUMMYFUNCTION("""COMPUTED_VALUE"""),2.378)</f>
        <v>2.378</v>
      </c>
      <c r="D267" s="21">
        <f>IFERROR(__xludf.DUMMYFUNCTION("""COMPUTED_VALUE"""),3.27)</f>
        <v>3.27</v>
      </c>
      <c r="E267" s="20">
        <f>IFERROR(__xludf.DUMMYFUNCTION("""COMPUTED_VALUE"""),1.798058571428571)</f>
        <v>1.798058571</v>
      </c>
      <c r="F267" s="20">
        <f>IFERROR(__xludf.DUMMYFUNCTION("""COMPUTED_VALUE"""),2.0316082357142853)</f>
        <v>2.031608236</v>
      </c>
      <c r="G267" s="20">
        <f>IFERROR(__xludf.DUMMYFUNCTION("""COMPUTED_VALUE"""),1.049988)</f>
        <v>1.049988</v>
      </c>
      <c r="H267" s="23"/>
      <c r="J267" s="22"/>
    </row>
    <row r="268">
      <c r="A268" s="19">
        <f>IFERROR(__xludf.DUMMYFUNCTION("""COMPUTED_VALUE"""),44828.0)</f>
        <v>44828</v>
      </c>
      <c r="B268" s="20">
        <f>IFERROR(__xludf.DUMMYFUNCTION("""COMPUTED_VALUE"""),2.9726666666666666)</f>
        <v>2.972666667</v>
      </c>
      <c r="C268" s="21">
        <f>IFERROR(__xludf.DUMMYFUNCTION("""COMPUTED_VALUE"""),2.378)</f>
        <v>2.378</v>
      </c>
      <c r="D268" s="21">
        <f>IFERROR(__xludf.DUMMYFUNCTION("""COMPUTED_VALUE"""),3.27)</f>
        <v>3.27</v>
      </c>
      <c r="E268" s="20">
        <f>IFERROR(__xludf.DUMMYFUNCTION("""COMPUTED_VALUE"""),1.8034085714285712)</f>
        <v>1.803408571</v>
      </c>
      <c r="F268" s="20">
        <f>IFERROR(__xludf.DUMMYFUNCTION("""COMPUTED_VALUE"""),2.037871557142857)</f>
        <v>2.037871557</v>
      </c>
      <c r="G268" s="20">
        <f>IFERROR(__xludf.DUMMYFUNCTION("""COMPUTED_VALUE"""),1.049988)</f>
        <v>1.049988</v>
      </c>
      <c r="H268" s="23"/>
      <c r="J268" s="22"/>
    </row>
    <row r="269">
      <c r="A269" s="19">
        <f>IFERROR(__xludf.DUMMYFUNCTION("""COMPUTED_VALUE"""),44829.0)</f>
        <v>44829</v>
      </c>
      <c r="B269" s="20">
        <f>IFERROR(__xludf.DUMMYFUNCTION("""COMPUTED_VALUE"""),2.9726666666666666)</f>
        <v>2.972666667</v>
      </c>
      <c r="C269" s="21">
        <f>IFERROR(__xludf.DUMMYFUNCTION("""COMPUTED_VALUE"""),2.378)</f>
        <v>2.378</v>
      </c>
      <c r="D269" s="21">
        <f>IFERROR(__xludf.DUMMYFUNCTION("""COMPUTED_VALUE"""),3.27)</f>
        <v>3.27</v>
      </c>
      <c r="E269" s="20">
        <f>IFERROR(__xludf.DUMMYFUNCTION("""COMPUTED_VALUE"""),1.8087585714285714)</f>
        <v>1.808758571</v>
      </c>
      <c r="F269" s="20">
        <f>IFERROR(__xludf.DUMMYFUNCTION("""COMPUTED_VALUE"""),2.044134878571428)</f>
        <v>2.044134879</v>
      </c>
      <c r="G269" s="20">
        <f>IFERROR(__xludf.DUMMYFUNCTION("""COMPUTED_VALUE"""),1.049988)</f>
        <v>1.049988</v>
      </c>
      <c r="H269" s="23"/>
      <c r="J269" s="22"/>
    </row>
    <row r="270">
      <c r="A270" s="19">
        <f>IFERROR(__xludf.DUMMYFUNCTION("""COMPUTED_VALUE"""),44830.0)</f>
        <v>44830</v>
      </c>
      <c r="B270" s="20">
        <f>IFERROR(__xludf.DUMMYFUNCTION("""COMPUTED_VALUE"""),3.096)</f>
        <v>3.096</v>
      </c>
      <c r="C270" s="21">
        <f>IFERROR(__xludf.DUMMYFUNCTION("""COMPUTED_VALUE"""),2.645)</f>
        <v>2.645</v>
      </c>
      <c r="D270" s="21">
        <f>IFERROR(__xludf.DUMMYFUNCTION("""COMPUTED_VALUE"""),3.27)</f>
        <v>3.27</v>
      </c>
      <c r="E270" s="20">
        <f>IFERROR(__xludf.DUMMYFUNCTION("""COMPUTED_VALUE"""),1.81258)</f>
        <v>1.81258</v>
      </c>
      <c r="F270" s="20">
        <f>IFERROR(__xludf.DUMMYFUNCTION("""COMPUTED_VALUE"""),2.0462481285714285)</f>
        <v>2.046248129</v>
      </c>
      <c r="G270" s="20">
        <f>IFERROR(__xludf.DUMMYFUNCTION("""COMPUTED_VALUE"""),1.049988)</f>
        <v>1.049988</v>
      </c>
      <c r="H270" s="23"/>
      <c r="J270" s="22"/>
    </row>
    <row r="271">
      <c r="A271" s="19">
        <f>IFERROR(__xludf.DUMMYFUNCTION("""COMPUTED_VALUE"""),44831.0)</f>
        <v>44831</v>
      </c>
      <c r="B271" s="20">
        <f>IFERROR(__xludf.DUMMYFUNCTION("""COMPUTED_VALUE"""),3.096)</f>
        <v>3.096</v>
      </c>
      <c r="C271" s="21">
        <f>IFERROR(__xludf.DUMMYFUNCTION("""COMPUTED_VALUE"""),2.645)</f>
        <v>2.645</v>
      </c>
      <c r="D271" s="21">
        <f>IFERROR(__xludf.DUMMYFUNCTION("""COMPUTED_VALUE"""),3.27)</f>
        <v>3.27</v>
      </c>
      <c r="E271" s="20">
        <f>IFERROR(__xludf.DUMMYFUNCTION("""COMPUTED_VALUE"""),1.7908742857142854)</f>
        <v>1.790874286</v>
      </c>
      <c r="F271" s="20">
        <f>IFERROR(__xludf.DUMMYFUNCTION("""COMPUTED_VALUE"""),2.049800910714286)</f>
        <v>2.049800911</v>
      </c>
      <c r="G271" s="20">
        <f>IFERROR(__xludf.DUMMYFUNCTION("""COMPUTED_VALUE"""),1.049988)</f>
        <v>1.049988</v>
      </c>
      <c r="H271" s="23"/>
      <c r="J271" s="22"/>
    </row>
    <row r="272">
      <c r="A272" s="19">
        <f>IFERROR(__xludf.DUMMYFUNCTION("""COMPUTED_VALUE"""),44832.0)</f>
        <v>44832</v>
      </c>
      <c r="B272" s="20">
        <f>IFERROR(__xludf.DUMMYFUNCTION("""COMPUTED_VALUE"""),3.096)</f>
        <v>3.096</v>
      </c>
      <c r="C272" s="21">
        <f>IFERROR(__xludf.DUMMYFUNCTION("""COMPUTED_VALUE"""),2.645)</f>
        <v>2.645</v>
      </c>
      <c r="D272" s="21">
        <f>IFERROR(__xludf.DUMMYFUNCTION("""COMPUTED_VALUE"""),3.27)</f>
        <v>3.27</v>
      </c>
      <c r="E272" s="20">
        <f>IFERROR(__xludf.DUMMYFUNCTION("""COMPUTED_VALUE"""),1.6837214285714286)</f>
        <v>1.683721429</v>
      </c>
      <c r="F272" s="20">
        <f>IFERROR(__xludf.DUMMYFUNCTION("""COMPUTED_VALUE"""),2.0795950607142855)</f>
        <v>2.079595061</v>
      </c>
      <c r="G272" s="20">
        <f>IFERROR(__xludf.DUMMYFUNCTION("""COMPUTED_VALUE"""),1.049988)</f>
        <v>1.049988</v>
      </c>
      <c r="H272" s="23"/>
      <c r="J272" s="22"/>
    </row>
    <row r="273">
      <c r="A273" s="19">
        <f>IFERROR(__xludf.DUMMYFUNCTION("""COMPUTED_VALUE"""),44833.0)</f>
        <v>44833</v>
      </c>
      <c r="B273" s="20">
        <f>IFERROR(__xludf.DUMMYFUNCTION("""COMPUTED_VALUE"""),3.096)</f>
        <v>3.096</v>
      </c>
      <c r="C273" s="21">
        <f>IFERROR(__xludf.DUMMYFUNCTION("""COMPUTED_VALUE"""),2.645)</f>
        <v>2.645</v>
      </c>
      <c r="D273" s="21">
        <f>IFERROR(__xludf.DUMMYFUNCTION("""COMPUTED_VALUE"""),3.27)</f>
        <v>3.27</v>
      </c>
      <c r="E273" s="20">
        <f>IFERROR(__xludf.DUMMYFUNCTION("""COMPUTED_VALUE"""),1.63175)</f>
        <v>1.63175</v>
      </c>
      <c r="F273" s="20">
        <f>IFERROR(__xludf.DUMMYFUNCTION("""COMPUTED_VALUE"""),2.0770022214285713)</f>
        <v>2.077002221</v>
      </c>
      <c r="G273" s="20">
        <f>IFERROR(__xludf.DUMMYFUNCTION("""COMPUTED_VALUE"""),1.049988)</f>
        <v>1.049988</v>
      </c>
      <c r="H273" s="23"/>
      <c r="J273" s="22"/>
    </row>
    <row r="274">
      <c r="A274" s="19">
        <f>IFERROR(__xludf.DUMMYFUNCTION("""COMPUTED_VALUE"""),44834.0)</f>
        <v>44834</v>
      </c>
      <c r="B274" s="20">
        <f>IFERROR(__xludf.DUMMYFUNCTION("""COMPUTED_VALUE"""),3.096)</f>
        <v>3.096</v>
      </c>
      <c r="C274" s="21">
        <f>IFERROR(__xludf.DUMMYFUNCTION("""COMPUTED_VALUE"""),2.645)</f>
        <v>2.645</v>
      </c>
      <c r="D274" s="21">
        <f>IFERROR(__xludf.DUMMYFUNCTION("""COMPUTED_VALUE"""),3.27)</f>
        <v>3.27</v>
      </c>
      <c r="E274" s="20">
        <f>IFERROR(__xludf.DUMMYFUNCTION("""COMPUTED_VALUE"""),1.6077514285714287)</f>
        <v>1.607751429</v>
      </c>
      <c r="F274" s="20">
        <f>IFERROR(__xludf.DUMMYFUNCTION("""COMPUTED_VALUE"""),2.0636493857142857)</f>
        <v>2.063649386</v>
      </c>
      <c r="G274" s="20">
        <f>IFERROR(__xludf.DUMMYFUNCTION("""COMPUTED_VALUE"""),1.049988)</f>
        <v>1.049988</v>
      </c>
      <c r="H274" s="23"/>
      <c r="J274" s="22"/>
    </row>
    <row r="275">
      <c r="A275" s="19">
        <f>IFERROR(__xludf.DUMMYFUNCTION("""COMPUTED_VALUE"""),44835.0)</f>
        <v>44835</v>
      </c>
      <c r="B275" s="20">
        <f>IFERROR(__xludf.DUMMYFUNCTION("""COMPUTED_VALUE"""),3.096)</f>
        <v>3.096</v>
      </c>
      <c r="C275" s="21">
        <f>IFERROR(__xludf.DUMMYFUNCTION("""COMPUTED_VALUE"""),2.645)</f>
        <v>2.645</v>
      </c>
      <c r="D275" s="21">
        <f>IFERROR(__xludf.DUMMYFUNCTION("""COMPUTED_VALUE"""),3.27)</f>
        <v>3.27</v>
      </c>
      <c r="E275" s="20">
        <f>IFERROR(__xludf.DUMMYFUNCTION("""COMPUTED_VALUE"""),1.595217142857143)</f>
        <v>1.595217143</v>
      </c>
      <c r="F275" s="20">
        <f>IFERROR(__xludf.DUMMYFUNCTION("""COMPUTED_VALUE"""),2.0502965499999997)</f>
        <v>2.05029655</v>
      </c>
      <c r="G275" s="20">
        <f>IFERROR(__xludf.DUMMYFUNCTION("""COMPUTED_VALUE"""),0.835182)</f>
        <v>0.835182</v>
      </c>
      <c r="H275" s="23"/>
      <c r="J275" s="22"/>
    </row>
    <row r="276">
      <c r="A276" s="19">
        <f>IFERROR(__xludf.DUMMYFUNCTION("""COMPUTED_VALUE"""),44836.0)</f>
        <v>44836</v>
      </c>
      <c r="B276" s="20">
        <f>IFERROR(__xludf.DUMMYFUNCTION("""COMPUTED_VALUE"""),3.096)</f>
        <v>3.096</v>
      </c>
      <c r="C276" s="21">
        <f>IFERROR(__xludf.DUMMYFUNCTION("""COMPUTED_VALUE"""),2.645)</f>
        <v>2.645</v>
      </c>
      <c r="D276" s="21">
        <f>IFERROR(__xludf.DUMMYFUNCTION("""COMPUTED_VALUE"""),3.27)</f>
        <v>3.27</v>
      </c>
      <c r="E276" s="20">
        <f>IFERROR(__xludf.DUMMYFUNCTION("""COMPUTED_VALUE"""),1.582682857142857)</f>
        <v>1.582682857</v>
      </c>
      <c r="F276" s="20">
        <f>IFERROR(__xludf.DUMMYFUNCTION("""COMPUTED_VALUE"""),2.0369437142857136)</f>
        <v>2.036943714</v>
      </c>
      <c r="G276" s="20">
        <f>IFERROR(__xludf.DUMMYFUNCTION("""COMPUTED_VALUE"""),0.835182)</f>
        <v>0.835182</v>
      </c>
      <c r="H276" s="23"/>
      <c r="J276" s="22"/>
    </row>
    <row r="277">
      <c r="A277" s="19">
        <f>IFERROR(__xludf.DUMMYFUNCTION("""COMPUTED_VALUE"""),44837.0)</f>
        <v>44837</v>
      </c>
      <c r="B277" s="20">
        <f>IFERROR(__xludf.DUMMYFUNCTION("""COMPUTED_VALUE"""),2.555)</f>
        <v>2.555</v>
      </c>
      <c r="C277" s="21">
        <f>IFERROR(__xludf.DUMMYFUNCTION("""COMPUTED_VALUE"""),1.895)</f>
        <v>1.895</v>
      </c>
      <c r="D277" s="21">
        <f>IFERROR(__xludf.DUMMYFUNCTION("""COMPUTED_VALUE"""),2.95)</f>
        <v>2.95</v>
      </c>
      <c r="E277" s="20">
        <f>IFERROR(__xludf.DUMMYFUNCTION("""COMPUTED_VALUE"""),1.5750399999999998)</f>
        <v>1.57504</v>
      </c>
      <c r="F277" s="20">
        <f>IFERROR(__xludf.DUMMYFUNCTION("""COMPUTED_VALUE"""),2.0093499428571424)</f>
        <v>2.009349943</v>
      </c>
      <c r="G277" s="20">
        <f>IFERROR(__xludf.DUMMYFUNCTION("""COMPUTED_VALUE"""),0.835182)</f>
        <v>0.835182</v>
      </c>
      <c r="H277" s="23"/>
      <c r="J277" s="22"/>
    </row>
    <row r="278">
      <c r="A278" s="19">
        <f>IFERROR(__xludf.DUMMYFUNCTION("""COMPUTED_VALUE"""),44838.0)</f>
        <v>44838</v>
      </c>
      <c r="B278" s="20">
        <f>IFERROR(__xludf.DUMMYFUNCTION("""COMPUTED_VALUE"""),2.555)</f>
        <v>2.555</v>
      </c>
      <c r="C278" s="21">
        <f>IFERROR(__xludf.DUMMYFUNCTION("""COMPUTED_VALUE"""),1.895)</f>
        <v>1.895</v>
      </c>
      <c r="D278" s="21">
        <f>IFERROR(__xludf.DUMMYFUNCTION("""COMPUTED_VALUE"""),2.95)</f>
        <v>2.95</v>
      </c>
      <c r="E278" s="20">
        <f>IFERROR(__xludf.DUMMYFUNCTION("""COMPUTED_VALUE"""),1.5527228571428573)</f>
        <v>1.552722857</v>
      </c>
      <c r="F278" s="20">
        <f>IFERROR(__xludf.DUMMYFUNCTION("""COMPUTED_VALUE"""),1.9563180678571428)</f>
        <v>1.956318068</v>
      </c>
      <c r="G278" s="20">
        <f>IFERROR(__xludf.DUMMYFUNCTION("""COMPUTED_VALUE"""),0.835182)</f>
        <v>0.835182</v>
      </c>
      <c r="H278" s="23"/>
      <c r="J278" s="22"/>
    </row>
    <row r="279">
      <c r="A279" s="19">
        <f>IFERROR(__xludf.DUMMYFUNCTION("""COMPUTED_VALUE"""),44839.0)</f>
        <v>44839</v>
      </c>
      <c r="B279" s="20">
        <f>IFERROR(__xludf.DUMMYFUNCTION("""COMPUTED_VALUE"""),2.555)</f>
        <v>2.555</v>
      </c>
      <c r="C279" s="21">
        <f>IFERROR(__xludf.DUMMYFUNCTION("""COMPUTED_VALUE"""),1.895)</f>
        <v>1.895</v>
      </c>
      <c r="D279" s="21">
        <f>IFERROR(__xludf.DUMMYFUNCTION("""COMPUTED_VALUE"""),2.95)</f>
        <v>2.95</v>
      </c>
      <c r="E279" s="20">
        <f>IFERROR(__xludf.DUMMYFUNCTION("""COMPUTED_VALUE"""),1.5580728571428573)</f>
        <v>1.558072857</v>
      </c>
      <c r="F279" s="20">
        <f>IFERROR(__xludf.DUMMYFUNCTION("""COMPUTED_VALUE"""),1.894769757142857)</f>
        <v>1.894769757</v>
      </c>
      <c r="G279" s="20">
        <f>IFERROR(__xludf.DUMMYFUNCTION("""COMPUTED_VALUE"""),0.835182)</f>
        <v>0.835182</v>
      </c>
      <c r="H279" s="23"/>
      <c r="J279" s="22"/>
    </row>
    <row r="280">
      <c r="A280" s="19">
        <f>IFERROR(__xludf.DUMMYFUNCTION("""COMPUTED_VALUE"""),44840.0)</f>
        <v>44840</v>
      </c>
      <c r="B280" s="20">
        <f>IFERROR(__xludf.DUMMYFUNCTION("""COMPUTED_VALUE"""),2.555)</f>
        <v>2.555</v>
      </c>
      <c r="C280" s="21">
        <f>IFERROR(__xludf.DUMMYFUNCTION("""COMPUTED_VALUE"""),1.895)</f>
        <v>1.895</v>
      </c>
      <c r="D280" s="21">
        <f>IFERROR(__xludf.DUMMYFUNCTION("""COMPUTED_VALUE"""),2.95)</f>
        <v>2.95</v>
      </c>
      <c r="E280" s="20">
        <f>IFERROR(__xludf.DUMMYFUNCTION("""COMPUTED_VALUE"""),1.490662857142857)</f>
        <v>1.490662857</v>
      </c>
      <c r="F280" s="20">
        <f>IFERROR(__xludf.DUMMYFUNCTION("""COMPUTED_VALUE"""),1.8703661142857142)</f>
        <v>1.870366114</v>
      </c>
      <c r="G280" s="20">
        <f>IFERROR(__xludf.DUMMYFUNCTION("""COMPUTED_VALUE"""),0.835182)</f>
        <v>0.835182</v>
      </c>
      <c r="H280" s="23"/>
      <c r="J280" s="22"/>
    </row>
    <row r="281">
      <c r="A281" s="19">
        <f>IFERROR(__xludf.DUMMYFUNCTION("""COMPUTED_VALUE"""),44841.0)</f>
        <v>44841</v>
      </c>
      <c r="B281" s="20">
        <f>IFERROR(__xludf.DUMMYFUNCTION("""COMPUTED_VALUE"""),2.555)</f>
        <v>2.555</v>
      </c>
      <c r="C281" s="21">
        <f>IFERROR(__xludf.DUMMYFUNCTION("""COMPUTED_VALUE"""),1.895)</f>
        <v>1.895</v>
      </c>
      <c r="D281" s="21">
        <f>IFERROR(__xludf.DUMMYFUNCTION("""COMPUTED_VALUE"""),2.95)</f>
        <v>2.95</v>
      </c>
      <c r="E281" s="20">
        <f>IFERROR(__xludf.DUMMYFUNCTION("""COMPUTED_VALUE"""),1.46162)</f>
        <v>1.46162</v>
      </c>
      <c r="F281" s="20">
        <f>IFERROR(__xludf.DUMMYFUNCTION("""COMPUTED_VALUE"""),1.8399177357142857)</f>
        <v>1.839917736</v>
      </c>
      <c r="G281" s="20">
        <f>IFERROR(__xludf.DUMMYFUNCTION("""COMPUTED_VALUE"""),0.835182)</f>
        <v>0.835182</v>
      </c>
      <c r="H281" s="23"/>
      <c r="J281" s="22"/>
    </row>
    <row r="282">
      <c r="A282" s="19">
        <f>IFERROR(__xludf.DUMMYFUNCTION("""COMPUTED_VALUE"""),44842.0)</f>
        <v>44842</v>
      </c>
      <c r="B282" s="20">
        <f>IFERROR(__xludf.DUMMYFUNCTION("""COMPUTED_VALUE"""),2.555)</f>
        <v>2.555</v>
      </c>
      <c r="C282" s="21">
        <f>IFERROR(__xludf.DUMMYFUNCTION("""COMPUTED_VALUE"""),1.895)</f>
        <v>1.895</v>
      </c>
      <c r="D282" s="21">
        <f>IFERROR(__xludf.DUMMYFUNCTION("""COMPUTED_VALUE"""),2.95)</f>
        <v>2.95</v>
      </c>
      <c r="E282" s="20">
        <f>IFERROR(__xludf.DUMMYFUNCTION("""COMPUTED_VALUE"""),1.403992857142857)</f>
        <v>1.403992857</v>
      </c>
      <c r="F282" s="20">
        <f>IFERROR(__xludf.DUMMYFUNCTION("""COMPUTED_VALUE"""),1.809469357142857)</f>
        <v>1.809469357</v>
      </c>
      <c r="G282" s="20">
        <f>IFERROR(__xludf.DUMMYFUNCTION("""COMPUTED_VALUE"""),0.835182)</f>
        <v>0.835182</v>
      </c>
      <c r="H282" s="23"/>
      <c r="J282" s="22"/>
    </row>
    <row r="283">
      <c r="A283" s="19">
        <f>IFERROR(__xludf.DUMMYFUNCTION("""COMPUTED_VALUE"""),44843.0)</f>
        <v>44843</v>
      </c>
      <c r="B283" s="20">
        <f>IFERROR(__xludf.DUMMYFUNCTION("""COMPUTED_VALUE"""),2.555)</f>
        <v>2.555</v>
      </c>
      <c r="C283" s="21">
        <f>IFERROR(__xludf.DUMMYFUNCTION("""COMPUTED_VALUE"""),1.895)</f>
        <v>1.895</v>
      </c>
      <c r="D283" s="21">
        <f>IFERROR(__xludf.DUMMYFUNCTION("""COMPUTED_VALUE"""),2.95)</f>
        <v>2.95</v>
      </c>
      <c r="E283" s="20">
        <f>IFERROR(__xludf.DUMMYFUNCTION("""COMPUTED_VALUE"""),1.3463657142857142)</f>
        <v>1.346365714</v>
      </c>
      <c r="F283" s="20">
        <f>IFERROR(__xludf.DUMMYFUNCTION("""COMPUTED_VALUE"""),1.7790209785714286)</f>
        <v>1.779020979</v>
      </c>
      <c r="G283" s="20">
        <f>IFERROR(__xludf.DUMMYFUNCTION("""COMPUTED_VALUE"""),0.835182)</f>
        <v>0.835182</v>
      </c>
      <c r="H283" s="23"/>
      <c r="J283" s="22"/>
    </row>
    <row r="284">
      <c r="A284" s="19">
        <f>IFERROR(__xludf.DUMMYFUNCTION("""COMPUTED_VALUE"""),44844.0)</f>
        <v>44844</v>
      </c>
      <c r="B284" s="20">
        <f>IFERROR(__xludf.DUMMYFUNCTION("""COMPUTED_VALUE"""),2.5383333333333336)</f>
        <v>2.538333333</v>
      </c>
      <c r="C284" s="21">
        <f>IFERROR(__xludf.DUMMYFUNCTION("""COMPUTED_VALUE"""),1.895)</f>
        <v>1.895</v>
      </c>
      <c r="D284" s="21">
        <f>IFERROR(__xludf.DUMMYFUNCTION("""COMPUTED_VALUE"""),2.925)</f>
        <v>2.925</v>
      </c>
      <c r="E284" s="20">
        <f>IFERROR(__xludf.DUMMYFUNCTION("""COMPUTED_VALUE"""),1.2943942857142858)</f>
        <v>1.294394286</v>
      </c>
      <c r="F284" s="20">
        <f>IFERROR(__xludf.DUMMYFUNCTION("""COMPUTED_VALUE"""),1.7784217785714287)</f>
        <v>1.778421779</v>
      </c>
      <c r="G284" s="20">
        <f>IFERROR(__xludf.DUMMYFUNCTION("""COMPUTED_VALUE"""),0.835182)</f>
        <v>0.835182</v>
      </c>
      <c r="H284" s="23"/>
      <c r="J284" s="22"/>
    </row>
    <row r="285">
      <c r="A285" s="19">
        <f>IFERROR(__xludf.DUMMYFUNCTION("""COMPUTED_VALUE"""),44845.0)</f>
        <v>44845</v>
      </c>
      <c r="B285" s="20">
        <f>IFERROR(__xludf.DUMMYFUNCTION("""COMPUTED_VALUE"""),2.5383333333333336)</f>
        <v>2.538333333</v>
      </c>
      <c r="C285" s="21">
        <f>IFERROR(__xludf.DUMMYFUNCTION("""COMPUTED_VALUE"""),1.895)</f>
        <v>1.895</v>
      </c>
      <c r="D285" s="21">
        <f>IFERROR(__xludf.DUMMYFUNCTION("""COMPUTED_VALUE"""),2.925)</f>
        <v>2.925</v>
      </c>
      <c r="E285" s="20">
        <f>IFERROR(__xludf.DUMMYFUNCTION("""COMPUTED_VALUE"""),1.2335571428571428)</f>
        <v>1.233557143</v>
      </c>
      <c r="F285" s="20">
        <f>IFERROR(__xludf.DUMMYFUNCTION("""COMPUTED_VALUE"""),1.790491378571429)</f>
        <v>1.790491379</v>
      </c>
      <c r="G285" s="20">
        <f>IFERROR(__xludf.DUMMYFUNCTION("""COMPUTED_VALUE"""),0.835182)</f>
        <v>0.835182</v>
      </c>
      <c r="H285" s="23"/>
      <c r="J285" s="22"/>
    </row>
    <row r="286">
      <c r="A286" s="19">
        <f>IFERROR(__xludf.DUMMYFUNCTION("""COMPUTED_VALUE"""),44846.0)</f>
        <v>44846</v>
      </c>
      <c r="B286" s="20">
        <f>IFERROR(__xludf.DUMMYFUNCTION("""COMPUTED_VALUE"""),2.5383333333333336)</f>
        <v>2.538333333</v>
      </c>
      <c r="C286" s="21">
        <f>IFERROR(__xludf.DUMMYFUNCTION("""COMPUTED_VALUE"""),1.895)</f>
        <v>1.895</v>
      </c>
      <c r="D286" s="21">
        <f>IFERROR(__xludf.DUMMYFUNCTION("""COMPUTED_VALUE"""),2.925)</f>
        <v>2.925</v>
      </c>
      <c r="E286" s="20">
        <f>IFERROR(__xludf.DUMMYFUNCTION("""COMPUTED_VALUE"""),1.23264)</f>
        <v>1.23264</v>
      </c>
      <c r="F286" s="20">
        <f>IFERROR(__xludf.DUMMYFUNCTION("""COMPUTED_VALUE"""),1.7768618714285715)</f>
        <v>1.776861871</v>
      </c>
      <c r="G286" s="20">
        <f>IFERROR(__xludf.DUMMYFUNCTION("""COMPUTED_VALUE"""),0.835182)</f>
        <v>0.835182</v>
      </c>
      <c r="H286" s="23"/>
      <c r="J286" s="22"/>
    </row>
    <row r="287">
      <c r="A287" s="24">
        <f>IFERROR(__xludf.DUMMYFUNCTION("""COMPUTED_VALUE"""),44847.0)</f>
        <v>44847</v>
      </c>
      <c r="B287" s="20">
        <f>IFERROR(__xludf.DUMMYFUNCTION("""COMPUTED_VALUE"""),2.5383333333333336)</f>
        <v>2.538333333</v>
      </c>
      <c r="C287" s="21">
        <f>IFERROR(__xludf.DUMMYFUNCTION("""COMPUTED_VALUE"""),1.895)</f>
        <v>1.895</v>
      </c>
      <c r="D287" s="21">
        <f>IFERROR(__xludf.DUMMYFUNCTION("""COMPUTED_VALUE"""),2.925)</f>
        <v>2.925</v>
      </c>
      <c r="E287" s="20">
        <f>IFERROR(__xludf.DUMMYFUNCTION("""COMPUTED_VALUE"""),1.23692)</f>
        <v>1.23692</v>
      </c>
      <c r="F287" s="20">
        <f>IFERROR(__xludf.DUMMYFUNCTION("""COMPUTED_VALUE"""),1.7514933178571428)</f>
        <v>1.751493318</v>
      </c>
      <c r="G287" s="20">
        <f>IFERROR(__xludf.DUMMYFUNCTION("""COMPUTED_VALUE"""),0.835182)</f>
        <v>0.835182</v>
      </c>
      <c r="H287" s="23"/>
      <c r="J287" s="22"/>
    </row>
    <row r="288">
      <c r="A288" s="24">
        <f>IFERROR(__xludf.DUMMYFUNCTION("""COMPUTED_VALUE"""),44848.0)</f>
        <v>44848</v>
      </c>
      <c r="B288" s="20">
        <f>IFERROR(__xludf.DUMMYFUNCTION("""COMPUTED_VALUE"""),2.5383333333333336)</f>
        <v>2.538333333</v>
      </c>
      <c r="C288" s="21">
        <f>IFERROR(__xludf.DUMMYFUNCTION("""COMPUTED_VALUE"""),1.895)</f>
        <v>1.895</v>
      </c>
      <c r="D288" s="21">
        <f>IFERROR(__xludf.DUMMYFUNCTION("""COMPUTED_VALUE"""),2.925)</f>
        <v>2.925</v>
      </c>
      <c r="E288" s="20">
        <f>IFERROR(__xludf.DUMMYFUNCTION("""COMPUTED_VALUE"""),1.167828571428571)</f>
        <v>1.167828571</v>
      </c>
      <c r="F288" s="20">
        <f>IFERROR(__xludf.DUMMYFUNCTION("""COMPUTED_VALUE"""),1.7365660535714285)</f>
        <v>1.736566054</v>
      </c>
      <c r="G288" s="20">
        <f>IFERROR(__xludf.DUMMYFUNCTION("""COMPUTED_VALUE"""),0.835182)</f>
        <v>0.835182</v>
      </c>
      <c r="H288" s="23"/>
      <c r="J288" s="22"/>
    </row>
    <row r="289">
      <c r="A289" s="24">
        <f>IFERROR(__xludf.DUMMYFUNCTION("""COMPUTED_VALUE"""),44849.0)</f>
        <v>44849</v>
      </c>
      <c r="B289" s="20">
        <f>IFERROR(__xludf.DUMMYFUNCTION("""COMPUTED_VALUE"""),2.5383333333333336)</f>
        <v>2.538333333</v>
      </c>
      <c r="C289" s="21">
        <f>IFERROR(__xludf.DUMMYFUNCTION("""COMPUTED_VALUE"""),1.895)</f>
        <v>1.895</v>
      </c>
      <c r="D289" s="21">
        <f>IFERROR(__xludf.DUMMYFUNCTION("""COMPUTED_VALUE"""),2.925)</f>
        <v>2.925</v>
      </c>
      <c r="E289" s="20">
        <f>IFERROR(__xludf.DUMMYFUNCTION("""COMPUTED_VALUE"""),1.08712)</f>
        <v>1.08712</v>
      </c>
      <c r="F289" s="20">
        <f>IFERROR(__xludf.DUMMYFUNCTION("""COMPUTED_VALUE"""),1.7216387892857143)</f>
        <v>1.721638789</v>
      </c>
      <c r="G289" s="20">
        <f>IFERROR(__xludf.DUMMYFUNCTION("""COMPUTED_VALUE"""),0.835182)</f>
        <v>0.835182</v>
      </c>
      <c r="H289" s="23"/>
      <c r="J289" s="22"/>
    </row>
    <row r="290">
      <c r="A290" s="24">
        <f>IFERROR(__xludf.DUMMYFUNCTION("""COMPUTED_VALUE"""),44850.0)</f>
        <v>44850</v>
      </c>
      <c r="B290" s="20">
        <f>IFERROR(__xludf.DUMMYFUNCTION("""COMPUTED_VALUE"""),2.5383333333333336)</f>
        <v>2.538333333</v>
      </c>
      <c r="C290" s="21">
        <f>IFERROR(__xludf.DUMMYFUNCTION("""COMPUTED_VALUE"""),1.895)</f>
        <v>1.895</v>
      </c>
      <c r="D290" s="21">
        <f>IFERROR(__xludf.DUMMYFUNCTION("""COMPUTED_VALUE"""),2.925)</f>
        <v>2.925</v>
      </c>
      <c r="E290" s="20">
        <f>IFERROR(__xludf.DUMMYFUNCTION("""COMPUTED_VALUE"""),1.0064114285714285)</f>
        <v>1.006411429</v>
      </c>
      <c r="F290" s="20">
        <f>IFERROR(__xludf.DUMMYFUNCTION("""COMPUTED_VALUE"""),1.706711525)</f>
        <v>1.706711525</v>
      </c>
      <c r="G290" s="20">
        <f>IFERROR(__xludf.DUMMYFUNCTION("""COMPUTED_VALUE"""),0.835182)</f>
        <v>0.835182</v>
      </c>
      <c r="H290" s="23"/>
      <c r="J290" s="22"/>
    </row>
    <row r="291">
      <c r="A291" s="24">
        <f>IFERROR(__xludf.DUMMYFUNCTION("""COMPUTED_VALUE"""),44851.0)</f>
        <v>44851</v>
      </c>
      <c r="B291" s="20">
        <f>IFERROR(__xludf.DUMMYFUNCTION("""COMPUTED_VALUE"""),2.5383333333333336)</f>
        <v>2.538333333</v>
      </c>
      <c r="C291" s="21">
        <f>IFERROR(__xludf.DUMMYFUNCTION("""COMPUTED_VALUE"""),1.895)</f>
        <v>1.895</v>
      </c>
      <c r="D291" s="21">
        <f>IFERROR(__xludf.DUMMYFUNCTION("""COMPUTED_VALUE"""),2.925)</f>
        <v>2.925</v>
      </c>
      <c r="E291" s="20">
        <f>IFERROR(__xludf.DUMMYFUNCTION("""COMPUTED_VALUE"""),0.9200471428571427)</f>
        <v>0.9200471429</v>
      </c>
      <c r="F291" s="20">
        <f>IFERROR(__xludf.DUMMYFUNCTION("""COMPUTED_VALUE"""),1.6807942142857144)</f>
        <v>1.680794214</v>
      </c>
      <c r="G291" s="20">
        <f>IFERROR(__xludf.DUMMYFUNCTION("""COMPUTED_VALUE"""),0.835182)</f>
        <v>0.835182</v>
      </c>
      <c r="H291" s="23"/>
      <c r="J291" s="22"/>
    </row>
    <row r="292">
      <c r="A292" s="24">
        <f>IFERROR(__xludf.DUMMYFUNCTION("""COMPUTED_VALUE"""),44852.0)</f>
        <v>44852</v>
      </c>
      <c r="B292" s="20">
        <f>IFERROR(__xludf.DUMMYFUNCTION("""COMPUTED_VALUE"""),2.5383333333333336)</f>
        <v>2.538333333</v>
      </c>
      <c r="C292" s="21">
        <f>IFERROR(__xludf.DUMMYFUNCTION("""COMPUTED_VALUE"""),1.895)</f>
        <v>1.895</v>
      </c>
      <c r="D292" s="21">
        <f>IFERROR(__xludf.DUMMYFUNCTION("""COMPUTED_VALUE"""),2.925)</f>
        <v>2.925</v>
      </c>
      <c r="E292" s="20">
        <f>IFERROR(__xludf.DUMMYFUNCTION("""COMPUTED_VALUE"""),0.8596685714285714)</f>
        <v>0.8596685714</v>
      </c>
      <c r="F292" s="20">
        <f>IFERROR(__xludf.DUMMYFUNCTION("""COMPUTED_VALUE"""),1.6377993214285715)</f>
        <v>1.637799321</v>
      </c>
      <c r="G292" s="20">
        <f>IFERROR(__xludf.DUMMYFUNCTION("""COMPUTED_VALUE"""),0.835182)</f>
        <v>0.835182</v>
      </c>
      <c r="H292" s="23"/>
      <c r="J292" s="22"/>
    </row>
    <row r="293">
      <c r="A293" s="24">
        <f>IFERROR(__xludf.DUMMYFUNCTION("""COMPUTED_VALUE"""),44853.0)</f>
        <v>44853</v>
      </c>
      <c r="B293" s="20">
        <f>IFERROR(__xludf.DUMMYFUNCTION("""COMPUTED_VALUE"""),2.5383333333333336)</f>
        <v>2.538333333</v>
      </c>
      <c r="C293" s="21">
        <f>IFERROR(__xludf.DUMMYFUNCTION("""COMPUTED_VALUE"""),1.895)</f>
        <v>1.895</v>
      </c>
      <c r="D293" s="21">
        <f>IFERROR(__xludf.DUMMYFUNCTION("""COMPUTED_VALUE"""),2.925)</f>
        <v>2.925</v>
      </c>
      <c r="E293" s="20">
        <f>IFERROR(__xludf.DUMMYFUNCTION("""COMPUTED_VALUE"""),0.7933285714285715)</f>
        <v>0.7933285714</v>
      </c>
      <c r="F293" s="20">
        <f>IFERROR(__xludf.DUMMYFUNCTION("""COMPUTED_VALUE"""),1.59507575)</f>
        <v>1.59507575</v>
      </c>
      <c r="G293" s="20">
        <f>IFERROR(__xludf.DUMMYFUNCTION("""COMPUTED_VALUE"""),0.835182)</f>
        <v>0.835182</v>
      </c>
      <c r="H293" s="23"/>
      <c r="J293" s="22"/>
    </row>
    <row r="294">
      <c r="A294" s="24">
        <f>IFERROR(__xludf.DUMMYFUNCTION("""COMPUTED_VALUE"""),44854.0)</f>
        <v>44854</v>
      </c>
      <c r="B294" s="20">
        <f>IFERROR(__xludf.DUMMYFUNCTION("""COMPUTED_VALUE"""),2.5383333333333336)</f>
        <v>2.538333333</v>
      </c>
      <c r="C294" s="21">
        <f>IFERROR(__xludf.DUMMYFUNCTION("""COMPUTED_VALUE"""),1.895)</f>
        <v>1.895</v>
      </c>
      <c r="D294" s="21">
        <f>IFERROR(__xludf.DUMMYFUNCTION("""COMPUTED_VALUE"""),2.925)</f>
        <v>2.925</v>
      </c>
      <c r="E294" s="20">
        <f>IFERROR(__xludf.DUMMYFUNCTION("""COMPUTED_VALUE"""),0.7456371428571428)</f>
        <v>0.7456371429</v>
      </c>
      <c r="F294" s="20">
        <f>IFERROR(__xludf.DUMMYFUNCTION("""COMPUTED_VALUE"""),1.5872674249999998)</f>
        <v>1.587267425</v>
      </c>
      <c r="G294" s="20">
        <f>IFERROR(__xludf.DUMMYFUNCTION("""COMPUTED_VALUE"""),0.835182)</f>
        <v>0.835182</v>
      </c>
      <c r="H294" s="23"/>
      <c r="J294" s="22"/>
    </row>
    <row r="295">
      <c r="A295" s="24">
        <f>IFERROR(__xludf.DUMMYFUNCTION("""COMPUTED_VALUE"""),44855.0)</f>
        <v>44855</v>
      </c>
      <c r="B295" s="20">
        <f>IFERROR(__xludf.DUMMYFUNCTION("""COMPUTED_VALUE"""),2.5383333333333336)</f>
        <v>2.538333333</v>
      </c>
      <c r="C295" s="21">
        <f>IFERROR(__xludf.DUMMYFUNCTION("""COMPUTED_VALUE"""),1.895)</f>
        <v>1.895</v>
      </c>
      <c r="D295" s="21">
        <f>IFERROR(__xludf.DUMMYFUNCTION("""COMPUTED_VALUE"""),2.925)</f>
        <v>2.925</v>
      </c>
      <c r="E295" s="20">
        <f>IFERROR(__xludf.DUMMYFUNCTION("""COMPUTED_VALUE"""),0.7000857142857143)</f>
        <v>0.7000857143</v>
      </c>
      <c r="F295" s="20">
        <f>IFERROR(__xludf.DUMMYFUNCTION("""COMPUTED_VALUE"""),1.57561245)</f>
        <v>1.57561245</v>
      </c>
      <c r="G295" s="20">
        <f>IFERROR(__xludf.DUMMYFUNCTION("""COMPUTED_VALUE"""),0.835182)</f>
        <v>0.835182</v>
      </c>
      <c r="H295" s="23"/>
      <c r="J295" s="22"/>
    </row>
    <row r="296">
      <c r="A296" s="24">
        <f>IFERROR(__xludf.DUMMYFUNCTION("""COMPUTED_VALUE"""),44856.0)</f>
        <v>44856</v>
      </c>
      <c r="B296" s="20">
        <f>IFERROR(__xludf.DUMMYFUNCTION("""COMPUTED_VALUE"""),2.5383333333333336)</f>
        <v>2.538333333</v>
      </c>
      <c r="C296" s="21">
        <f>IFERROR(__xludf.DUMMYFUNCTION("""COMPUTED_VALUE"""),1.895)</f>
        <v>1.895</v>
      </c>
      <c r="D296" s="21">
        <f>IFERROR(__xludf.DUMMYFUNCTION("""COMPUTED_VALUE"""),2.925)</f>
        <v>2.925</v>
      </c>
      <c r="E296" s="20">
        <f>IFERROR(__xludf.DUMMYFUNCTION("""COMPUTED_VALUE"""),0.6591199999999999)</f>
        <v>0.65912</v>
      </c>
      <c r="F296" s="20">
        <f>IFERROR(__xludf.DUMMYFUNCTION("""COMPUTED_VALUE"""),1.5639574750000003)</f>
        <v>1.563957475</v>
      </c>
      <c r="G296" s="20">
        <f>IFERROR(__xludf.DUMMYFUNCTION("""COMPUTED_VALUE"""),0.835182)</f>
        <v>0.835182</v>
      </c>
      <c r="H296" s="23"/>
      <c r="J296" s="22"/>
    </row>
    <row r="297">
      <c r="A297" s="24">
        <f>IFERROR(__xludf.DUMMYFUNCTION("""COMPUTED_VALUE"""),44857.0)</f>
        <v>44857</v>
      </c>
      <c r="B297" s="20">
        <f>IFERROR(__xludf.DUMMYFUNCTION("""COMPUTED_VALUE"""),2.5383333333333336)</f>
        <v>2.538333333</v>
      </c>
      <c r="C297" s="21">
        <f>IFERROR(__xludf.DUMMYFUNCTION("""COMPUTED_VALUE"""),1.895)</f>
        <v>1.895</v>
      </c>
      <c r="D297" s="21">
        <f>IFERROR(__xludf.DUMMYFUNCTION("""COMPUTED_VALUE"""),2.925)</f>
        <v>2.925</v>
      </c>
      <c r="E297" s="20">
        <f>IFERROR(__xludf.DUMMYFUNCTION("""COMPUTED_VALUE"""),0.6181542857142857)</f>
        <v>0.6181542857</v>
      </c>
      <c r="F297" s="20">
        <f>IFERROR(__xludf.DUMMYFUNCTION("""COMPUTED_VALUE"""),1.5523025000000001)</f>
        <v>1.5523025</v>
      </c>
      <c r="G297" s="20">
        <f>IFERROR(__xludf.DUMMYFUNCTION("""COMPUTED_VALUE"""),0.835182)</f>
        <v>0.835182</v>
      </c>
      <c r="H297" s="23"/>
      <c r="J297" s="22"/>
    </row>
    <row r="298">
      <c r="A298" s="24">
        <f>IFERROR(__xludf.DUMMYFUNCTION("""COMPUTED_VALUE"""),44858.0)</f>
        <v>44858</v>
      </c>
      <c r="B298" s="20">
        <f>IFERROR(__xludf.DUMMYFUNCTION("""COMPUTED_VALUE"""),2.5383333333333336)</f>
        <v>2.538333333</v>
      </c>
      <c r="C298" s="21">
        <f>IFERROR(__xludf.DUMMYFUNCTION("""COMPUTED_VALUE"""),1.895)</f>
        <v>1.895</v>
      </c>
      <c r="D298" s="21">
        <f>IFERROR(__xludf.DUMMYFUNCTION("""COMPUTED_VALUE"""),2.925)</f>
        <v>2.925</v>
      </c>
      <c r="E298" s="20">
        <f>IFERROR(__xludf.DUMMYFUNCTION("""COMPUTED_VALUE"""),0.5875828571428572)</f>
        <v>0.5875828571</v>
      </c>
      <c r="F298" s="20">
        <f>IFERROR(__xludf.DUMMYFUNCTION("""COMPUTED_VALUE"""),1.536490575)</f>
        <v>1.536490575</v>
      </c>
      <c r="G298" s="20">
        <f>IFERROR(__xludf.DUMMYFUNCTION("""COMPUTED_VALUE"""),0.835182)</f>
        <v>0.835182</v>
      </c>
      <c r="H298" s="23"/>
      <c r="J298" s="22"/>
    </row>
    <row r="299">
      <c r="A299" s="24">
        <f>IFERROR(__xludf.DUMMYFUNCTION("""COMPUTED_VALUE"""),44859.0)</f>
        <v>44859</v>
      </c>
      <c r="B299" s="20">
        <f>IFERROR(__xludf.DUMMYFUNCTION("""COMPUTED_VALUE"""),2.5383333333333336)</f>
        <v>2.538333333</v>
      </c>
      <c r="C299" s="21">
        <f>IFERROR(__xludf.DUMMYFUNCTION("""COMPUTED_VALUE"""),1.895)</f>
        <v>1.895</v>
      </c>
      <c r="D299" s="21">
        <f>IFERROR(__xludf.DUMMYFUNCTION("""COMPUTED_VALUE"""),2.925)</f>
        <v>2.925</v>
      </c>
      <c r="E299" s="20">
        <f>IFERROR(__xludf.DUMMYFUNCTION("""COMPUTED_VALUE"""),0.5414199999999999)</f>
        <v>0.54142</v>
      </c>
      <c r="F299" s="20">
        <f>IFERROR(__xludf.DUMMYFUNCTION("""COMPUTED_VALUE"""),1.5328755035714288)</f>
        <v>1.532875504</v>
      </c>
      <c r="G299" s="20">
        <f>IFERROR(__xludf.DUMMYFUNCTION("""COMPUTED_VALUE"""),0.835182)</f>
        <v>0.835182</v>
      </c>
      <c r="H299" s="23"/>
      <c r="J299" s="22"/>
    </row>
    <row r="300">
      <c r="A300" s="24">
        <f>IFERROR(__xludf.DUMMYFUNCTION("""COMPUTED_VALUE"""),44860.0)</f>
        <v>44860</v>
      </c>
      <c r="B300" s="20">
        <f>IFERROR(__xludf.DUMMYFUNCTION("""COMPUTED_VALUE"""),2.5383333333333336)</f>
        <v>2.538333333</v>
      </c>
      <c r="C300" s="21">
        <f>IFERROR(__xludf.DUMMYFUNCTION("""COMPUTED_VALUE"""),1.895)</f>
        <v>1.895</v>
      </c>
      <c r="D300" s="21">
        <f>IFERROR(__xludf.DUMMYFUNCTION("""COMPUTED_VALUE"""),2.925)</f>
        <v>2.925</v>
      </c>
      <c r="E300" s="20">
        <f>IFERROR(__xludf.DUMMYFUNCTION("""COMPUTED_VALUE"""),0.5041228571428571)</f>
        <v>0.5041228571</v>
      </c>
      <c r="F300" s="20">
        <f>IFERROR(__xludf.DUMMYFUNCTION("""COMPUTED_VALUE"""),1.5319262607142858)</f>
        <v>1.531926261</v>
      </c>
      <c r="G300" s="20">
        <f>IFERROR(__xludf.DUMMYFUNCTION("""COMPUTED_VALUE"""),0.835182)</f>
        <v>0.835182</v>
      </c>
      <c r="H300" s="23"/>
      <c r="J300" s="22"/>
    </row>
    <row r="301">
      <c r="A301" s="24">
        <f>IFERROR(__xludf.DUMMYFUNCTION("""COMPUTED_VALUE"""),44861.0)</f>
        <v>44861</v>
      </c>
      <c r="B301" s="20">
        <f>IFERROR(__xludf.DUMMYFUNCTION("""COMPUTED_VALUE"""),2.5383333333333336)</f>
        <v>2.538333333</v>
      </c>
      <c r="C301" s="21">
        <f>IFERROR(__xludf.DUMMYFUNCTION("""COMPUTED_VALUE"""),1.895)</f>
        <v>1.895</v>
      </c>
      <c r="D301" s="21">
        <f>IFERROR(__xludf.DUMMYFUNCTION("""COMPUTED_VALUE"""),2.925)</f>
        <v>2.925</v>
      </c>
      <c r="E301" s="20">
        <f>IFERROR(__xludf.DUMMYFUNCTION("""COMPUTED_VALUE"""),0.46621428571428564)</f>
        <v>0.4662142857</v>
      </c>
      <c r="F301" s="20">
        <f>IFERROR(__xludf.DUMMYFUNCTION("""COMPUTED_VALUE"""),1.5113081249999998)</f>
        <v>1.511308125</v>
      </c>
      <c r="G301" s="20">
        <f>IFERROR(__xludf.DUMMYFUNCTION("""COMPUTED_VALUE"""),0.835182)</f>
        <v>0.835182</v>
      </c>
      <c r="H301" s="23"/>
      <c r="J301" s="22"/>
    </row>
    <row r="302">
      <c r="A302" s="24">
        <f>IFERROR(__xludf.DUMMYFUNCTION("""COMPUTED_VALUE"""),44862.0)</f>
        <v>44862</v>
      </c>
      <c r="B302" s="20">
        <f>IFERROR(__xludf.DUMMYFUNCTION("""COMPUTED_VALUE"""),2.5383333333333336)</f>
        <v>2.538333333</v>
      </c>
      <c r="C302" s="21">
        <f>IFERROR(__xludf.DUMMYFUNCTION("""COMPUTED_VALUE"""),1.895)</f>
        <v>1.895</v>
      </c>
      <c r="D302" s="21">
        <f>IFERROR(__xludf.DUMMYFUNCTION("""COMPUTED_VALUE"""),2.925)</f>
        <v>2.925</v>
      </c>
      <c r="E302" s="20">
        <f>IFERROR(__xludf.DUMMYFUNCTION("""COMPUTED_VALUE"""),0.42112142857142854)</f>
        <v>0.4211214286</v>
      </c>
      <c r="F302" s="20">
        <f>IFERROR(__xludf.DUMMYFUNCTION("""COMPUTED_VALUE"""),1.50416855)</f>
        <v>1.50416855</v>
      </c>
      <c r="G302" s="20">
        <f>IFERROR(__xludf.DUMMYFUNCTION("""COMPUTED_VALUE"""),0.835182)</f>
        <v>0.835182</v>
      </c>
      <c r="H302" s="23"/>
      <c r="J302" s="22"/>
    </row>
    <row r="303">
      <c r="A303" s="24">
        <f>IFERROR(__xludf.DUMMYFUNCTION("""COMPUTED_VALUE"""),44863.0)</f>
        <v>44863</v>
      </c>
      <c r="B303" s="20">
        <f>IFERROR(__xludf.DUMMYFUNCTION("""COMPUTED_VALUE"""),2.5383333333333336)</f>
        <v>2.538333333</v>
      </c>
      <c r="C303" s="21">
        <f>IFERROR(__xludf.DUMMYFUNCTION("""COMPUTED_VALUE"""),1.895)</f>
        <v>1.895</v>
      </c>
      <c r="D303" s="21">
        <f>IFERROR(__xludf.DUMMYFUNCTION("""COMPUTED_VALUE"""),2.925)</f>
        <v>2.925</v>
      </c>
      <c r="E303" s="20">
        <f>IFERROR(__xludf.DUMMYFUNCTION("""COMPUTED_VALUE"""),0.4006385714285714)</f>
        <v>0.4006385714</v>
      </c>
      <c r="F303" s="20">
        <f>IFERROR(__xludf.DUMMYFUNCTION("""COMPUTED_VALUE"""),1.4970289749999999)</f>
        <v>1.497028975</v>
      </c>
      <c r="G303" s="20">
        <f>IFERROR(__xludf.DUMMYFUNCTION("""COMPUTED_VALUE"""),0.835182)</f>
        <v>0.835182</v>
      </c>
      <c r="H303" s="23"/>
      <c r="J303" s="22"/>
    </row>
    <row r="304">
      <c r="A304" s="24">
        <f>IFERROR(__xludf.DUMMYFUNCTION("""COMPUTED_VALUE"""),44864.0)</f>
        <v>44864</v>
      </c>
      <c r="B304" s="20">
        <f>IFERROR(__xludf.DUMMYFUNCTION("""COMPUTED_VALUE"""),2.5383333333333336)</f>
        <v>2.538333333</v>
      </c>
      <c r="C304" s="21">
        <f>IFERROR(__xludf.DUMMYFUNCTION("""COMPUTED_VALUE"""),1.895)</f>
        <v>1.895</v>
      </c>
      <c r="D304" s="21">
        <f>IFERROR(__xludf.DUMMYFUNCTION("""COMPUTED_VALUE"""),2.925)</f>
        <v>2.925</v>
      </c>
      <c r="E304" s="20">
        <f>IFERROR(__xludf.DUMMYFUNCTION("""COMPUTED_VALUE"""),0.38015571428571426)</f>
        <v>0.3801557143</v>
      </c>
      <c r="F304" s="20">
        <f>IFERROR(__xludf.DUMMYFUNCTION("""COMPUTED_VALUE"""),1.4898893999999998)</f>
        <v>1.4898894</v>
      </c>
      <c r="G304" s="20">
        <f>IFERROR(__xludf.DUMMYFUNCTION("""COMPUTED_VALUE"""),0.835182)</f>
        <v>0.835182</v>
      </c>
      <c r="H304" s="23"/>
      <c r="J304" s="22"/>
    </row>
    <row r="305">
      <c r="A305" s="24">
        <f>IFERROR(__xludf.DUMMYFUNCTION("""COMPUTED_VALUE"""),44865.0)</f>
        <v>44865</v>
      </c>
      <c r="B305" s="20">
        <f>IFERROR(__xludf.DUMMYFUNCTION("""COMPUTED_VALUE"""),2.5383333333333336)</f>
        <v>2.538333333</v>
      </c>
      <c r="C305" s="21">
        <f>IFERROR(__xludf.DUMMYFUNCTION("""COMPUTED_VALUE"""),1.895)</f>
        <v>1.895</v>
      </c>
      <c r="D305" s="21">
        <f>IFERROR(__xludf.DUMMYFUNCTION("""COMPUTED_VALUE"""),2.925)</f>
        <v>2.925</v>
      </c>
      <c r="E305" s="20">
        <f>IFERROR(__xludf.DUMMYFUNCTION("""COMPUTED_VALUE"""),0.3613542857142857)</f>
        <v>0.3613542857</v>
      </c>
      <c r="F305" s="20">
        <f>IFERROR(__xludf.DUMMYFUNCTION("""COMPUTED_VALUE"""),1.4726944999999998)</f>
        <v>1.4726945</v>
      </c>
      <c r="G305" s="20">
        <f>IFERROR(__xludf.DUMMYFUNCTION("""COMPUTED_VALUE"""),0.835182)</f>
        <v>0.835182</v>
      </c>
      <c r="H305" s="23"/>
      <c r="J305" s="22"/>
    </row>
    <row r="306">
      <c r="A306" s="24">
        <f>IFERROR(__xludf.DUMMYFUNCTION("""COMPUTED_VALUE"""),44866.0)</f>
        <v>44866</v>
      </c>
      <c r="B306" s="20">
        <f>IFERROR(__xludf.DUMMYFUNCTION("""COMPUTED_VALUE"""),2.5383333333333336)</f>
        <v>2.538333333</v>
      </c>
      <c r="C306" s="21">
        <f>IFERROR(__xludf.DUMMYFUNCTION("""COMPUTED_VALUE"""),1.895)</f>
        <v>1.895</v>
      </c>
      <c r="D306" s="21">
        <f>IFERROR(__xludf.DUMMYFUNCTION("""COMPUTED_VALUE"""),2.925)</f>
        <v>2.925</v>
      </c>
      <c r="E306" s="20">
        <f>IFERROR(__xludf.DUMMYFUNCTION("""COMPUTED_VALUE"""),0.3688442857142857)</f>
        <v>0.3688442857</v>
      </c>
      <c r="F306" s="20">
        <f>IFERROR(__xludf.DUMMYFUNCTION("""COMPUTED_VALUE"""),1.4462234642857141)</f>
        <v>1.446223464</v>
      </c>
      <c r="G306" s="20">
        <f>IFERROR(__xludf.DUMMYFUNCTION("""COMPUTED_VALUE"""),0.975849)</f>
        <v>0.975849</v>
      </c>
      <c r="H306" s="23"/>
      <c r="J306" s="22"/>
    </row>
    <row r="307">
      <c r="A307" s="24">
        <f>IFERROR(__xludf.DUMMYFUNCTION("""COMPUTED_VALUE"""),44867.0)</f>
        <v>44867</v>
      </c>
      <c r="B307" s="20">
        <f>IFERROR(__xludf.DUMMYFUNCTION("""COMPUTED_VALUE"""),2.5383333333333336)</f>
        <v>2.538333333</v>
      </c>
      <c r="C307" s="21">
        <f>IFERROR(__xludf.DUMMYFUNCTION("""COMPUTED_VALUE"""),1.895)</f>
        <v>1.895</v>
      </c>
      <c r="D307" s="21">
        <f>IFERROR(__xludf.DUMMYFUNCTION("""COMPUTED_VALUE"""),2.925)</f>
        <v>2.925</v>
      </c>
      <c r="E307" s="20">
        <f>IFERROR(__xludf.DUMMYFUNCTION("""COMPUTED_VALUE"""),0.36869142857142856)</f>
        <v>0.3686914286</v>
      </c>
      <c r="F307" s="20">
        <f>IFERROR(__xludf.DUMMYFUNCTION("""COMPUTED_VALUE"""),1.4345268357142855)</f>
        <v>1.434526836</v>
      </c>
      <c r="G307" s="20">
        <f>IFERROR(__xludf.DUMMYFUNCTION("""COMPUTED_VALUE"""),0.975849)</f>
        <v>0.975849</v>
      </c>
      <c r="H307" s="23"/>
      <c r="J307" s="22"/>
    </row>
    <row r="308">
      <c r="A308" s="24">
        <f>IFERROR(__xludf.DUMMYFUNCTION("""COMPUTED_VALUE"""),44868.0)</f>
        <v>44868</v>
      </c>
      <c r="B308" s="20">
        <f>IFERROR(__xludf.DUMMYFUNCTION("""COMPUTED_VALUE"""),2.5383333333333336)</f>
        <v>2.538333333</v>
      </c>
      <c r="C308" s="21">
        <f>IFERROR(__xludf.DUMMYFUNCTION("""COMPUTED_VALUE"""),1.895)</f>
        <v>1.895</v>
      </c>
      <c r="D308" s="21">
        <f>IFERROR(__xludf.DUMMYFUNCTION("""COMPUTED_VALUE"""),2.925)</f>
        <v>2.925</v>
      </c>
      <c r="E308" s="20">
        <f>IFERROR(__xludf.DUMMYFUNCTION("""COMPUTED_VALUE"""),0.3676214285714285)</f>
        <v>0.3676214286</v>
      </c>
      <c r="F308" s="20">
        <f>IFERROR(__xludf.DUMMYFUNCTION("""COMPUTED_VALUE"""),1.4187649714285713)</f>
        <v>1.418764971</v>
      </c>
      <c r="G308" s="20">
        <f>IFERROR(__xludf.DUMMYFUNCTION("""COMPUTED_VALUE"""),0.975849)</f>
        <v>0.975849</v>
      </c>
      <c r="H308" s="23"/>
      <c r="J308" s="22"/>
    </row>
    <row r="309">
      <c r="A309" s="19">
        <f>IFERROR(__xludf.DUMMYFUNCTION("""COMPUTED_VALUE"""),44869.0)</f>
        <v>44869</v>
      </c>
      <c r="B309" s="20">
        <f>IFERROR(__xludf.DUMMYFUNCTION("""COMPUTED_VALUE"""),2.5383333333333336)</f>
        <v>2.538333333</v>
      </c>
      <c r="C309" s="21">
        <f>IFERROR(__xludf.DUMMYFUNCTION("""COMPUTED_VALUE"""),1.895)</f>
        <v>1.895</v>
      </c>
      <c r="D309" s="21">
        <f>IFERROR(__xludf.DUMMYFUNCTION("""COMPUTED_VALUE"""),2.925)</f>
        <v>2.925</v>
      </c>
      <c r="E309" s="20">
        <f>IFERROR(__xludf.DUMMYFUNCTION("""COMPUTED_VALUE"""),0.4273885714285715)</f>
        <v>0.4273885714</v>
      </c>
      <c r="F309" s="20">
        <f>IFERROR(__xludf.DUMMYFUNCTION("""COMPUTED_VALUE"""),1.3891137428571425)</f>
        <v>1.389113743</v>
      </c>
      <c r="G309" s="20">
        <f>IFERROR(__xludf.DUMMYFUNCTION("""COMPUTED_VALUE"""),0.975849)</f>
        <v>0.975849</v>
      </c>
      <c r="H309" s="23"/>
      <c r="J309" s="22"/>
    </row>
    <row r="310">
      <c r="A310" s="19">
        <f>IFERROR(__xludf.DUMMYFUNCTION("""COMPUTED_VALUE"""),44870.0)</f>
        <v>44870</v>
      </c>
      <c r="B310" s="20">
        <f>IFERROR(__xludf.DUMMYFUNCTION("""COMPUTED_VALUE"""),2.5383333333333336)</f>
        <v>2.538333333</v>
      </c>
      <c r="C310" s="21">
        <f>IFERROR(__xludf.DUMMYFUNCTION("""COMPUTED_VALUE"""),1.895)</f>
        <v>1.895</v>
      </c>
      <c r="D310" s="21">
        <f>IFERROR(__xludf.DUMMYFUNCTION("""COMPUTED_VALUE"""),2.925)</f>
        <v>2.925</v>
      </c>
      <c r="E310" s="20">
        <f>IFERROR(__xludf.DUMMYFUNCTION("""COMPUTED_VALUE"""),0.4834871428571428)</f>
        <v>0.4834871429</v>
      </c>
      <c r="F310" s="20">
        <f>IFERROR(__xludf.DUMMYFUNCTION("""COMPUTED_VALUE"""),1.359462514285714)</f>
        <v>1.359462514</v>
      </c>
      <c r="G310" s="20">
        <f>IFERROR(__xludf.DUMMYFUNCTION("""COMPUTED_VALUE"""),0.975849)</f>
        <v>0.975849</v>
      </c>
      <c r="H310" s="23"/>
      <c r="J310" s="22"/>
    </row>
    <row r="311">
      <c r="A311" s="19">
        <f>IFERROR(__xludf.DUMMYFUNCTION("""COMPUTED_VALUE"""),44871.0)</f>
        <v>44871</v>
      </c>
      <c r="B311" s="20">
        <f>IFERROR(__xludf.DUMMYFUNCTION("""COMPUTED_VALUE"""),2.5383333333333336)</f>
        <v>2.538333333</v>
      </c>
      <c r="C311" s="21">
        <f>IFERROR(__xludf.DUMMYFUNCTION("""COMPUTED_VALUE"""),1.895)</f>
        <v>1.895</v>
      </c>
      <c r="D311" s="21">
        <f>IFERROR(__xludf.DUMMYFUNCTION("""COMPUTED_VALUE"""),2.925)</f>
        <v>2.925</v>
      </c>
      <c r="E311" s="20">
        <f>IFERROR(__xludf.DUMMYFUNCTION("""COMPUTED_VALUE"""),0.5395857142857142)</f>
        <v>0.5395857143</v>
      </c>
      <c r="F311" s="20">
        <f>IFERROR(__xludf.DUMMYFUNCTION("""COMPUTED_VALUE"""),1.3298112857142856)</f>
        <v>1.329811286</v>
      </c>
      <c r="G311" s="20">
        <f>IFERROR(__xludf.DUMMYFUNCTION("""COMPUTED_VALUE"""),0.975849)</f>
        <v>0.975849</v>
      </c>
      <c r="H311" s="23"/>
      <c r="J311" s="22"/>
    </row>
    <row r="312">
      <c r="A312" s="19">
        <f>IFERROR(__xludf.DUMMYFUNCTION("""COMPUTED_VALUE"""),44872.0)</f>
        <v>44872</v>
      </c>
      <c r="B312" s="20">
        <f>IFERROR(__xludf.DUMMYFUNCTION("""COMPUTED_VALUE"""),2.525)</f>
        <v>2.525</v>
      </c>
      <c r="C312" s="21">
        <f>IFERROR(__xludf.DUMMYFUNCTION("""COMPUTED_VALUE"""),1.855)</f>
        <v>1.855</v>
      </c>
      <c r="D312" s="21">
        <f>IFERROR(__xludf.DUMMYFUNCTION("""COMPUTED_VALUE"""),2.925)</f>
        <v>2.925</v>
      </c>
      <c r="E312" s="20">
        <f>IFERROR(__xludf.DUMMYFUNCTION("""COMPUTED_VALUE"""),0.5859014285714286)</f>
        <v>0.5859014286</v>
      </c>
      <c r="F312" s="20">
        <f>IFERROR(__xludf.DUMMYFUNCTION("""COMPUTED_VALUE"""),1.3153582607142857)</f>
        <v>1.315358261</v>
      </c>
      <c r="G312" s="20">
        <f>IFERROR(__xludf.DUMMYFUNCTION("""COMPUTED_VALUE"""),0.975849)</f>
        <v>0.975849</v>
      </c>
      <c r="H312" s="23"/>
      <c r="J312" s="22"/>
    </row>
    <row r="313">
      <c r="A313" s="19">
        <f>IFERROR(__xludf.DUMMYFUNCTION("""COMPUTED_VALUE"""),44873.0)</f>
        <v>44873</v>
      </c>
      <c r="B313" s="20">
        <f>IFERROR(__xludf.DUMMYFUNCTION("""COMPUTED_VALUE"""),2.525)</f>
        <v>2.525</v>
      </c>
      <c r="C313" s="21">
        <f>IFERROR(__xludf.DUMMYFUNCTION("""COMPUTED_VALUE"""),1.855)</f>
        <v>1.855</v>
      </c>
      <c r="D313" s="21">
        <f>IFERROR(__xludf.DUMMYFUNCTION("""COMPUTED_VALUE"""),2.925)</f>
        <v>2.925</v>
      </c>
      <c r="E313" s="20">
        <f>IFERROR(__xludf.DUMMYFUNCTION("""COMPUTED_VALUE"""),0.6299242857142857)</f>
        <v>0.6299242857</v>
      </c>
      <c r="F313" s="20">
        <f>IFERROR(__xludf.DUMMYFUNCTION("""COMPUTED_VALUE"""),1.319935567857143)</f>
        <v>1.319935568</v>
      </c>
      <c r="G313" s="20">
        <f>IFERROR(__xludf.DUMMYFUNCTION("""COMPUTED_VALUE"""),0.975849)</f>
        <v>0.975849</v>
      </c>
      <c r="H313" s="23"/>
      <c r="J313" s="22"/>
    </row>
    <row r="314">
      <c r="A314" s="19">
        <f>IFERROR(__xludf.DUMMYFUNCTION("""COMPUTED_VALUE"""),44874.0)</f>
        <v>44874</v>
      </c>
      <c r="B314" s="20">
        <f>IFERROR(__xludf.DUMMYFUNCTION("""COMPUTED_VALUE"""),2.525)</f>
        <v>2.525</v>
      </c>
      <c r="C314" s="21">
        <f>IFERROR(__xludf.DUMMYFUNCTION("""COMPUTED_VALUE"""),1.855)</f>
        <v>1.855</v>
      </c>
      <c r="D314" s="21">
        <f>IFERROR(__xludf.DUMMYFUNCTION("""COMPUTED_VALUE"""),2.925)</f>
        <v>2.925</v>
      </c>
      <c r="E314" s="20">
        <f>IFERROR(__xludf.DUMMYFUNCTION("""COMPUTED_VALUE"""),0.7133842857142857)</f>
        <v>0.7133842857</v>
      </c>
      <c r="F314" s="20">
        <f>IFERROR(__xludf.DUMMYFUNCTION("""COMPUTED_VALUE"""),1.3043976392857144)</f>
        <v>1.304397639</v>
      </c>
      <c r="G314" s="20">
        <f>IFERROR(__xludf.DUMMYFUNCTION("""COMPUTED_VALUE"""),0.975849)</f>
        <v>0.975849</v>
      </c>
      <c r="H314" s="23"/>
      <c r="J314" s="22"/>
    </row>
    <row r="315">
      <c r="A315" s="19">
        <f>IFERROR(__xludf.DUMMYFUNCTION("""COMPUTED_VALUE"""),44875.0)</f>
        <v>44875</v>
      </c>
      <c r="B315" s="20">
        <f>IFERROR(__xludf.DUMMYFUNCTION("""COMPUTED_VALUE"""),2.525)</f>
        <v>2.525</v>
      </c>
      <c r="C315" s="21">
        <f>IFERROR(__xludf.DUMMYFUNCTION("""COMPUTED_VALUE"""),1.855)</f>
        <v>1.855</v>
      </c>
      <c r="D315" s="21">
        <f>IFERROR(__xludf.DUMMYFUNCTION("""COMPUTED_VALUE"""),2.925)</f>
        <v>2.925</v>
      </c>
      <c r="E315" s="20">
        <f>IFERROR(__xludf.DUMMYFUNCTION("""COMPUTED_VALUE"""),0.7806414285714285)</f>
        <v>0.7806414286</v>
      </c>
      <c r="F315" s="20">
        <f>IFERROR(__xludf.DUMMYFUNCTION("""COMPUTED_VALUE"""),1.2897550714285715)</f>
        <v>1.289755071</v>
      </c>
      <c r="G315" s="20">
        <f>IFERROR(__xludf.DUMMYFUNCTION("""COMPUTED_VALUE"""),0.975849)</f>
        <v>0.975849</v>
      </c>
      <c r="H315" s="23"/>
      <c r="J315" s="22"/>
    </row>
    <row r="316">
      <c r="A316" s="19">
        <f>IFERROR(__xludf.DUMMYFUNCTION("""COMPUTED_VALUE"""),44876.0)</f>
        <v>44876</v>
      </c>
      <c r="B316" s="20">
        <f>IFERROR(__xludf.DUMMYFUNCTION("""COMPUTED_VALUE"""),2.525)</f>
        <v>2.525</v>
      </c>
      <c r="C316" s="21">
        <f>IFERROR(__xludf.DUMMYFUNCTION("""COMPUTED_VALUE"""),1.855)</f>
        <v>1.855</v>
      </c>
      <c r="D316" s="21">
        <f>IFERROR(__xludf.DUMMYFUNCTION("""COMPUTED_VALUE"""),2.925)</f>
        <v>2.925</v>
      </c>
      <c r="E316" s="20">
        <f>IFERROR(__xludf.DUMMYFUNCTION("""COMPUTED_VALUE"""),0.8032642857142855)</f>
        <v>0.8032642857</v>
      </c>
      <c r="F316" s="20">
        <f>IFERROR(__xludf.DUMMYFUNCTION("""COMPUTED_VALUE"""),1.2651584464285714)</f>
        <v>1.265158446</v>
      </c>
      <c r="G316" s="20">
        <f>IFERROR(__xludf.DUMMYFUNCTION("""COMPUTED_VALUE"""),0.975849)</f>
        <v>0.975849</v>
      </c>
      <c r="H316" s="23"/>
      <c r="J316" s="22"/>
    </row>
    <row r="317">
      <c r="A317" s="19">
        <f>IFERROR(__xludf.DUMMYFUNCTION("""COMPUTED_VALUE"""),44877.0)</f>
        <v>44877</v>
      </c>
      <c r="B317" s="20">
        <f>IFERROR(__xludf.DUMMYFUNCTION("""COMPUTED_VALUE"""),2.525)</f>
        <v>2.525</v>
      </c>
      <c r="C317" s="21">
        <f>IFERROR(__xludf.DUMMYFUNCTION("""COMPUTED_VALUE"""),1.855)</f>
        <v>1.855</v>
      </c>
      <c r="D317" s="21">
        <f>IFERROR(__xludf.DUMMYFUNCTION("""COMPUTED_VALUE"""),2.925)</f>
        <v>2.925</v>
      </c>
      <c r="E317" s="20">
        <f>IFERROR(__xludf.DUMMYFUNCTION("""COMPUTED_VALUE"""),0.8025)</f>
        <v>0.8025</v>
      </c>
      <c r="F317" s="20">
        <f>IFERROR(__xludf.DUMMYFUNCTION("""COMPUTED_VALUE"""),1.2405618214285712)</f>
        <v>1.240561821</v>
      </c>
      <c r="G317" s="20">
        <f>IFERROR(__xludf.DUMMYFUNCTION("""COMPUTED_VALUE"""),0.975849)</f>
        <v>0.975849</v>
      </c>
      <c r="H317" s="23"/>
      <c r="J317" s="22"/>
    </row>
    <row r="318">
      <c r="A318" s="24">
        <f>IFERROR(__xludf.DUMMYFUNCTION("""COMPUTED_VALUE"""),44878.0)</f>
        <v>44878</v>
      </c>
      <c r="B318" s="20">
        <f>IFERROR(__xludf.DUMMYFUNCTION("""COMPUTED_VALUE"""),2.525)</f>
        <v>2.525</v>
      </c>
      <c r="C318" s="21">
        <f>IFERROR(__xludf.DUMMYFUNCTION("""COMPUTED_VALUE"""),1.855)</f>
        <v>1.855</v>
      </c>
      <c r="D318" s="21">
        <f>IFERROR(__xludf.DUMMYFUNCTION("""COMPUTED_VALUE"""),2.925)</f>
        <v>2.925</v>
      </c>
      <c r="E318" s="20">
        <f>IFERROR(__xludf.DUMMYFUNCTION("""COMPUTED_VALUE"""),0.8017357142857142)</f>
        <v>0.8017357143</v>
      </c>
      <c r="F318" s="20">
        <f>IFERROR(__xludf.DUMMYFUNCTION("""COMPUTED_VALUE"""),1.2159651964285714)</f>
        <v>1.215965196</v>
      </c>
      <c r="G318" s="20">
        <f>IFERROR(__xludf.DUMMYFUNCTION("""COMPUTED_VALUE"""),0.975849)</f>
        <v>0.975849</v>
      </c>
      <c r="H318" s="23"/>
      <c r="J318" s="22"/>
    </row>
    <row r="319">
      <c r="A319" s="24">
        <f>IFERROR(__xludf.DUMMYFUNCTION("""COMPUTED_VALUE"""),44879.0)</f>
        <v>44879</v>
      </c>
      <c r="B319" s="20">
        <f>IFERROR(__xludf.DUMMYFUNCTION("""COMPUTED_VALUE"""),2.58)</f>
        <v>2.58</v>
      </c>
      <c r="C319" s="21">
        <f>IFERROR(__xludf.DUMMYFUNCTION("""COMPUTED_VALUE"""),1.855)</f>
        <v>1.855</v>
      </c>
      <c r="D319" s="21">
        <f>IFERROR(__xludf.DUMMYFUNCTION("""COMPUTED_VALUE"""),2.795)</f>
        <v>2.795</v>
      </c>
      <c r="E319" s="20">
        <f>IFERROR(__xludf.DUMMYFUNCTION("""COMPUTED_VALUE"""),0.8093785714285712)</f>
        <v>0.8093785714</v>
      </c>
      <c r="F319" s="20">
        <f>IFERROR(__xludf.DUMMYFUNCTION("""COMPUTED_VALUE"""),1.2145627321428571)</f>
        <v>1.214562732</v>
      </c>
      <c r="G319" s="20">
        <f>IFERROR(__xludf.DUMMYFUNCTION("""COMPUTED_VALUE"""),0.975849)</f>
        <v>0.975849</v>
      </c>
      <c r="H319" s="23"/>
      <c r="J319" s="22"/>
    </row>
    <row r="320">
      <c r="A320" s="24">
        <f>IFERROR(__xludf.DUMMYFUNCTION("""COMPUTED_VALUE"""),44880.0)</f>
        <v>44880</v>
      </c>
      <c r="B320" s="20">
        <f>IFERROR(__xludf.DUMMYFUNCTION("""COMPUTED_VALUE"""),2.58)</f>
        <v>2.58</v>
      </c>
      <c r="C320" s="21">
        <f>IFERROR(__xludf.DUMMYFUNCTION("""COMPUTED_VALUE"""),1.855)</f>
        <v>1.855</v>
      </c>
      <c r="D320" s="21">
        <f>IFERROR(__xludf.DUMMYFUNCTION("""COMPUTED_VALUE"""),2.795)</f>
        <v>2.795</v>
      </c>
      <c r="E320" s="20">
        <f>IFERROR(__xludf.DUMMYFUNCTION("""COMPUTED_VALUE"""),0.8726614285714286)</f>
        <v>0.8726614286</v>
      </c>
      <c r="F320" s="20">
        <f>IFERROR(__xludf.DUMMYFUNCTION("""COMPUTED_VALUE"""),1.2194354357142856)</f>
        <v>1.219435436</v>
      </c>
      <c r="G320" s="20">
        <f>IFERROR(__xludf.DUMMYFUNCTION("""COMPUTED_VALUE"""),0.975849)</f>
        <v>0.975849</v>
      </c>
      <c r="H320" s="23"/>
      <c r="J320" s="22"/>
    </row>
    <row r="321">
      <c r="A321" s="24">
        <f>IFERROR(__xludf.DUMMYFUNCTION("""COMPUTED_VALUE"""),44881.0)</f>
        <v>44881</v>
      </c>
      <c r="B321" s="20">
        <f>IFERROR(__xludf.DUMMYFUNCTION("""COMPUTED_VALUE"""),2.58)</f>
        <v>2.58</v>
      </c>
      <c r="C321" s="21">
        <f>IFERROR(__xludf.DUMMYFUNCTION("""COMPUTED_VALUE"""),1.855)</f>
        <v>1.855</v>
      </c>
      <c r="D321" s="21">
        <f>IFERROR(__xludf.DUMMYFUNCTION("""COMPUTED_VALUE"""),2.795)</f>
        <v>2.795</v>
      </c>
      <c r="E321" s="20">
        <f>IFERROR(__xludf.DUMMYFUNCTION("""COMPUTED_VALUE"""),0.9035385714285714)</f>
        <v>0.9035385714</v>
      </c>
      <c r="F321" s="20">
        <f>IFERROR(__xludf.DUMMYFUNCTION("""COMPUTED_VALUE"""),1.2224058321428568)</f>
        <v>1.222405832</v>
      </c>
      <c r="G321" s="20">
        <f>IFERROR(__xludf.DUMMYFUNCTION("""COMPUTED_VALUE"""),0.975849)</f>
        <v>0.975849</v>
      </c>
      <c r="H321" s="23"/>
      <c r="J321" s="22"/>
    </row>
    <row r="322">
      <c r="A322" s="24">
        <f>IFERROR(__xludf.DUMMYFUNCTION("""COMPUTED_VALUE"""),44882.0)</f>
        <v>44882</v>
      </c>
      <c r="B322" s="20">
        <f>IFERROR(__xludf.DUMMYFUNCTION("""COMPUTED_VALUE"""),2.58)</f>
        <v>2.58</v>
      </c>
      <c r="C322" s="21">
        <f>IFERROR(__xludf.DUMMYFUNCTION("""COMPUTED_VALUE"""),1.855)</f>
        <v>1.855</v>
      </c>
      <c r="D322" s="21">
        <f>IFERROR(__xludf.DUMMYFUNCTION("""COMPUTED_VALUE"""),2.795)</f>
        <v>2.795</v>
      </c>
      <c r="E322" s="20">
        <f>IFERROR(__xludf.DUMMYFUNCTION("""COMPUTED_VALUE"""),0.9162257142857142)</f>
        <v>0.9162257143</v>
      </c>
      <c r="F322" s="20">
        <f>IFERROR(__xludf.DUMMYFUNCTION("""COMPUTED_VALUE"""),1.2226886178571428)</f>
        <v>1.222688618</v>
      </c>
      <c r="G322" s="20">
        <f>IFERROR(__xludf.DUMMYFUNCTION("""COMPUTED_VALUE"""),0.975849)</f>
        <v>0.975849</v>
      </c>
      <c r="H322" s="23"/>
      <c r="J322" s="22"/>
    </row>
    <row r="323">
      <c r="A323" s="24">
        <f>IFERROR(__xludf.DUMMYFUNCTION("""COMPUTED_VALUE"""),44883.0)</f>
        <v>44883</v>
      </c>
      <c r="B323" s="20">
        <f>IFERROR(__xludf.DUMMYFUNCTION("""COMPUTED_VALUE"""),2.58)</f>
        <v>2.58</v>
      </c>
      <c r="C323" s="21">
        <f>IFERROR(__xludf.DUMMYFUNCTION("""COMPUTED_VALUE"""),1.855)</f>
        <v>1.855</v>
      </c>
      <c r="D323" s="21">
        <f>IFERROR(__xludf.DUMMYFUNCTION("""COMPUTED_VALUE"""),2.795)</f>
        <v>2.795</v>
      </c>
      <c r="E323" s="20">
        <f>IFERROR(__xludf.DUMMYFUNCTION("""COMPUTED_VALUE"""),0.9339571428571427)</f>
        <v>0.9339571429</v>
      </c>
      <c r="F323" s="20">
        <f>IFERROR(__xludf.DUMMYFUNCTION("""COMPUTED_VALUE"""),1.2463275928571427)</f>
        <v>1.246327593</v>
      </c>
      <c r="G323" s="20">
        <f>IFERROR(__xludf.DUMMYFUNCTION("""COMPUTED_VALUE"""),0.975849)</f>
        <v>0.975849</v>
      </c>
      <c r="H323" s="23"/>
      <c r="J323" s="22"/>
    </row>
    <row r="324">
      <c r="A324" s="24">
        <f>IFERROR(__xludf.DUMMYFUNCTION("""COMPUTED_VALUE"""),44884.0)</f>
        <v>44884</v>
      </c>
      <c r="B324" s="20">
        <f>IFERROR(__xludf.DUMMYFUNCTION("""COMPUTED_VALUE"""),2.58)</f>
        <v>2.58</v>
      </c>
      <c r="C324" s="21">
        <f>IFERROR(__xludf.DUMMYFUNCTION("""COMPUTED_VALUE"""),1.855)</f>
        <v>1.855</v>
      </c>
      <c r="D324" s="21">
        <f>IFERROR(__xludf.DUMMYFUNCTION("""COMPUTED_VALUE"""),2.795)</f>
        <v>2.795</v>
      </c>
      <c r="E324" s="20">
        <f>IFERROR(__xludf.DUMMYFUNCTION("""COMPUTED_VALUE"""),1.0012142857142856)</f>
        <v>1.001214286</v>
      </c>
      <c r="F324" s="20">
        <f>IFERROR(__xludf.DUMMYFUNCTION("""COMPUTED_VALUE"""),1.2699665678571428)</f>
        <v>1.269966568</v>
      </c>
      <c r="G324" s="20">
        <f>IFERROR(__xludf.DUMMYFUNCTION("""COMPUTED_VALUE"""),0.975849)</f>
        <v>0.975849</v>
      </c>
      <c r="H324" s="23"/>
      <c r="J324" s="22"/>
    </row>
    <row r="325">
      <c r="A325" s="24">
        <f>IFERROR(__xludf.DUMMYFUNCTION("""COMPUTED_VALUE"""),44885.0)</f>
        <v>44885</v>
      </c>
      <c r="B325" s="20">
        <f>IFERROR(__xludf.DUMMYFUNCTION("""COMPUTED_VALUE"""),2.58)</f>
        <v>2.58</v>
      </c>
      <c r="C325" s="21">
        <f>IFERROR(__xludf.DUMMYFUNCTION("""COMPUTED_VALUE"""),1.855)</f>
        <v>1.855</v>
      </c>
      <c r="D325" s="21">
        <f>IFERROR(__xludf.DUMMYFUNCTION("""COMPUTED_VALUE"""),2.795)</f>
        <v>2.795</v>
      </c>
      <c r="E325" s="20">
        <f>IFERROR(__xludf.DUMMYFUNCTION("""COMPUTED_VALUE"""),1.0684714285714285)</f>
        <v>1.068471429</v>
      </c>
      <c r="F325" s="20">
        <f>IFERROR(__xludf.DUMMYFUNCTION("""COMPUTED_VALUE"""),1.293605542857143)</f>
        <v>1.293605543</v>
      </c>
      <c r="G325" s="20">
        <f>IFERROR(__xludf.DUMMYFUNCTION("""COMPUTED_VALUE"""),0.975849)</f>
        <v>0.975849</v>
      </c>
      <c r="H325" s="23"/>
      <c r="J325" s="22"/>
    </row>
    <row r="326">
      <c r="A326" s="24">
        <f>IFERROR(__xludf.DUMMYFUNCTION("""COMPUTED_VALUE"""),44886.0)</f>
        <v>44886</v>
      </c>
      <c r="B326" s="20">
        <f>IFERROR(__xludf.DUMMYFUNCTION("""COMPUTED_VALUE"""),2.572)</f>
        <v>2.572</v>
      </c>
      <c r="C326" s="21">
        <f>IFERROR(__xludf.DUMMYFUNCTION("""COMPUTED_VALUE"""),1.835)</f>
        <v>1.835</v>
      </c>
      <c r="D326" s="21">
        <f>IFERROR(__xludf.DUMMYFUNCTION("""COMPUTED_VALUE"""),2.795)</f>
        <v>2.795</v>
      </c>
      <c r="E326" s="20">
        <f>IFERROR(__xludf.DUMMYFUNCTION("""COMPUTED_VALUE"""),1.12885)</f>
        <v>1.12885</v>
      </c>
      <c r="F326" s="20">
        <f>IFERROR(__xludf.DUMMYFUNCTION("""COMPUTED_VALUE"""),1.2988944)</f>
        <v>1.2988944</v>
      </c>
      <c r="G326" s="20">
        <f>IFERROR(__xludf.DUMMYFUNCTION("""COMPUTED_VALUE"""),0.975849)</f>
        <v>0.975849</v>
      </c>
      <c r="H326" s="23"/>
      <c r="J326" s="22"/>
    </row>
    <row r="327">
      <c r="A327" s="24">
        <f>IFERROR(__xludf.DUMMYFUNCTION("""COMPUTED_VALUE"""),44887.0)</f>
        <v>44887</v>
      </c>
      <c r="B327" s="20">
        <f>IFERROR(__xludf.DUMMYFUNCTION("""COMPUTED_VALUE"""),2.572)</f>
        <v>2.572</v>
      </c>
      <c r="C327" s="21">
        <f>IFERROR(__xludf.DUMMYFUNCTION("""COMPUTED_VALUE"""),1.835)</f>
        <v>1.835</v>
      </c>
      <c r="D327" s="21">
        <f>IFERROR(__xludf.DUMMYFUNCTION("""COMPUTED_VALUE"""),2.795)</f>
        <v>2.795</v>
      </c>
      <c r="E327" s="20">
        <f>IFERROR(__xludf.DUMMYFUNCTION("""COMPUTED_VALUE"""),1.140467142857143)</f>
        <v>1.140467143</v>
      </c>
      <c r="F327" s="20">
        <f>IFERROR(__xludf.DUMMYFUNCTION("""COMPUTED_VALUE"""),1.3000522928571427)</f>
        <v>1.300052293</v>
      </c>
      <c r="G327" s="20">
        <f>IFERROR(__xludf.DUMMYFUNCTION("""COMPUTED_VALUE"""),0.975849)</f>
        <v>0.975849</v>
      </c>
      <c r="H327" s="23"/>
      <c r="J327" s="22"/>
    </row>
    <row r="328">
      <c r="A328" s="24">
        <f>IFERROR(__xludf.DUMMYFUNCTION("""COMPUTED_VALUE"""),44888.0)</f>
        <v>44888</v>
      </c>
      <c r="B328" s="20">
        <f>IFERROR(__xludf.DUMMYFUNCTION("""COMPUTED_VALUE"""),2.572)</f>
        <v>2.572</v>
      </c>
      <c r="C328" s="21">
        <f>IFERROR(__xludf.DUMMYFUNCTION("""COMPUTED_VALUE"""),1.835)</f>
        <v>1.835</v>
      </c>
      <c r="D328" s="21">
        <f>IFERROR(__xludf.DUMMYFUNCTION("""COMPUTED_VALUE"""),2.795)</f>
        <v>2.795</v>
      </c>
      <c r="E328" s="20">
        <f>IFERROR(__xludf.DUMMYFUNCTION("""COMPUTED_VALUE"""),1.1456642857142856)</f>
        <v>1.145664286</v>
      </c>
      <c r="F328" s="20">
        <f>IFERROR(__xludf.DUMMYFUNCTION("""COMPUTED_VALUE"""),1.3199076714285716)</f>
        <v>1.319907671</v>
      </c>
      <c r="G328" s="20">
        <f>IFERROR(__xludf.DUMMYFUNCTION("""COMPUTED_VALUE"""),0.975849)</f>
        <v>0.975849</v>
      </c>
      <c r="H328" s="23"/>
      <c r="J328" s="22"/>
    </row>
    <row r="329">
      <c r="A329" s="24">
        <f>IFERROR(__xludf.DUMMYFUNCTION("""COMPUTED_VALUE"""),44889.0)</f>
        <v>44889</v>
      </c>
      <c r="B329" s="20">
        <f>IFERROR(__xludf.DUMMYFUNCTION("""COMPUTED_VALUE"""),2.572)</f>
        <v>2.572</v>
      </c>
      <c r="C329" s="21">
        <f>IFERROR(__xludf.DUMMYFUNCTION("""COMPUTED_VALUE"""),1.835)</f>
        <v>1.835</v>
      </c>
      <c r="D329" s="21">
        <f>IFERROR(__xludf.DUMMYFUNCTION("""COMPUTED_VALUE"""),2.795)</f>
        <v>2.795</v>
      </c>
      <c r="E329" s="20">
        <f>IFERROR(__xludf.DUMMYFUNCTION("""COMPUTED_VALUE"""),1.1763885714285713)</f>
        <v>1.176388571</v>
      </c>
      <c r="F329" s="20">
        <f>IFERROR(__xludf.DUMMYFUNCTION("""COMPUTED_VALUE"""),1.3354146464285714)</f>
        <v>1.335414646</v>
      </c>
      <c r="G329" s="20">
        <f>IFERROR(__xludf.DUMMYFUNCTION("""COMPUTED_VALUE"""),0.975849)</f>
        <v>0.975849</v>
      </c>
      <c r="H329" s="23"/>
      <c r="J329" s="22"/>
    </row>
    <row r="330">
      <c r="A330" s="24">
        <f>IFERROR(__xludf.DUMMYFUNCTION("""COMPUTED_VALUE"""),44890.0)</f>
        <v>44890</v>
      </c>
      <c r="B330" s="20">
        <f>IFERROR(__xludf.DUMMYFUNCTION("""COMPUTED_VALUE"""),2.572)</f>
        <v>2.572</v>
      </c>
      <c r="C330" s="21">
        <f>IFERROR(__xludf.DUMMYFUNCTION("""COMPUTED_VALUE"""),1.835)</f>
        <v>1.835</v>
      </c>
      <c r="D330" s="21">
        <f>IFERROR(__xludf.DUMMYFUNCTION("""COMPUTED_VALUE"""),2.795)</f>
        <v>2.795</v>
      </c>
      <c r="E330" s="20">
        <f>IFERROR(__xludf.DUMMYFUNCTION("""COMPUTED_VALUE"""),1.2057371428571428)</f>
        <v>1.205737143</v>
      </c>
      <c r="F330" s="20">
        <f>IFERROR(__xludf.DUMMYFUNCTION("""COMPUTED_VALUE"""),1.348938682142857)</f>
        <v>1.348938682</v>
      </c>
      <c r="G330" s="20">
        <f>IFERROR(__xludf.DUMMYFUNCTION("""COMPUTED_VALUE"""),0.975849)</f>
        <v>0.975849</v>
      </c>
      <c r="H330" s="23"/>
      <c r="J330" s="22"/>
    </row>
    <row r="331">
      <c r="A331" s="24">
        <f>IFERROR(__xludf.DUMMYFUNCTION("""COMPUTED_VALUE"""),44891.0)</f>
        <v>44891</v>
      </c>
      <c r="B331" s="20">
        <f>IFERROR(__xludf.DUMMYFUNCTION("""COMPUTED_VALUE"""),2.572)</f>
        <v>2.572</v>
      </c>
      <c r="C331" s="21">
        <f>IFERROR(__xludf.DUMMYFUNCTION("""COMPUTED_VALUE"""),1.835)</f>
        <v>1.835</v>
      </c>
      <c r="D331" s="21">
        <f>IFERROR(__xludf.DUMMYFUNCTION("""COMPUTED_VALUE"""),2.795)</f>
        <v>2.795</v>
      </c>
      <c r="E331" s="20">
        <f>IFERROR(__xludf.DUMMYFUNCTION("""COMPUTED_VALUE"""),1.2228571428571429)</f>
        <v>1.222857143</v>
      </c>
      <c r="F331" s="20">
        <f>IFERROR(__xludf.DUMMYFUNCTION("""COMPUTED_VALUE"""),1.362462717857143)</f>
        <v>1.362462718</v>
      </c>
      <c r="G331" s="20">
        <f>IFERROR(__xludf.DUMMYFUNCTION("""COMPUTED_VALUE"""),0.975849)</f>
        <v>0.975849</v>
      </c>
      <c r="H331" s="23"/>
      <c r="J331" s="22"/>
    </row>
    <row r="332">
      <c r="A332" s="24">
        <f>IFERROR(__xludf.DUMMYFUNCTION("""COMPUTED_VALUE"""),44892.0)</f>
        <v>44892</v>
      </c>
      <c r="B332" s="20">
        <f>IFERROR(__xludf.DUMMYFUNCTION("""COMPUTED_VALUE"""),2.572)</f>
        <v>2.572</v>
      </c>
      <c r="C332" s="21">
        <f>IFERROR(__xludf.DUMMYFUNCTION("""COMPUTED_VALUE"""),1.835)</f>
        <v>1.835</v>
      </c>
      <c r="D332" s="21">
        <f>IFERROR(__xludf.DUMMYFUNCTION("""COMPUTED_VALUE"""),2.795)</f>
        <v>2.795</v>
      </c>
      <c r="E332" s="20">
        <f>IFERROR(__xludf.DUMMYFUNCTION("""COMPUTED_VALUE"""),1.2399771428571429)</f>
        <v>1.239977143</v>
      </c>
      <c r="F332" s="20">
        <f>IFERROR(__xludf.DUMMYFUNCTION("""COMPUTED_VALUE"""),1.3759867535714285)</f>
        <v>1.375986754</v>
      </c>
      <c r="G332" s="20">
        <f>IFERROR(__xludf.DUMMYFUNCTION("""COMPUTED_VALUE"""),0.975849)</f>
        <v>0.975849</v>
      </c>
      <c r="H332" s="23"/>
      <c r="J332" s="22"/>
    </row>
    <row r="333">
      <c r="A333" s="24">
        <f>IFERROR(__xludf.DUMMYFUNCTION("""COMPUTED_VALUE"""),44893.0)</f>
        <v>44893</v>
      </c>
      <c r="B333" s="20">
        <f>IFERROR(__xludf.DUMMYFUNCTION("""COMPUTED_VALUE"""),2.572)</f>
        <v>2.572</v>
      </c>
      <c r="C333" s="21">
        <f>IFERROR(__xludf.DUMMYFUNCTION("""COMPUTED_VALUE"""),1.835)</f>
        <v>1.835</v>
      </c>
      <c r="D333" s="21">
        <f>IFERROR(__xludf.DUMMYFUNCTION("""COMPUTED_VALUE"""),2.795)</f>
        <v>2.795</v>
      </c>
      <c r="E333" s="20">
        <f>IFERROR(__xludf.DUMMYFUNCTION("""COMPUTED_VALUE"""),1.2603071428571428)</f>
        <v>1.260307143</v>
      </c>
      <c r="F333" s="20">
        <f>IFERROR(__xludf.DUMMYFUNCTION("""COMPUTED_VALUE"""),1.3862461428571426)</f>
        <v>1.386246143</v>
      </c>
      <c r="G333" s="20">
        <f>IFERROR(__xludf.DUMMYFUNCTION("""COMPUTED_VALUE"""),0.975849)</f>
        <v>0.975849</v>
      </c>
      <c r="H333" s="23"/>
      <c r="J333" s="22"/>
    </row>
    <row r="334">
      <c r="A334" s="24">
        <f>IFERROR(__xludf.DUMMYFUNCTION("""COMPUTED_VALUE"""),44894.0)</f>
        <v>44894</v>
      </c>
      <c r="B334" s="20">
        <f>IFERROR(__xludf.DUMMYFUNCTION("""COMPUTED_VALUE"""),2.572)</f>
        <v>2.572</v>
      </c>
      <c r="C334" s="21">
        <f>IFERROR(__xludf.DUMMYFUNCTION("""COMPUTED_VALUE"""),1.835)</f>
        <v>1.835</v>
      </c>
      <c r="D334" s="21">
        <f>IFERROR(__xludf.DUMMYFUNCTION("""COMPUTED_VALUE"""),2.795)</f>
        <v>2.795</v>
      </c>
      <c r="E334" s="20">
        <f>IFERROR(__xludf.DUMMYFUNCTION("""COMPUTED_VALUE"""),1.2789557142857142)</f>
        <v>1.278955714</v>
      </c>
      <c r="F334" s="20">
        <f>IFERROR(__xludf.DUMMYFUNCTION("""COMPUTED_VALUE"""),1.3968872928571425)</f>
        <v>1.396887293</v>
      </c>
      <c r="G334" s="20">
        <f>IFERROR(__xludf.DUMMYFUNCTION("""COMPUTED_VALUE"""),0.975849)</f>
        <v>0.975849</v>
      </c>
      <c r="H334" s="23"/>
      <c r="J334" s="22"/>
    </row>
    <row r="335">
      <c r="A335" s="24">
        <f>IFERROR(__xludf.DUMMYFUNCTION("""COMPUTED_VALUE"""),44895.0)</f>
        <v>44895</v>
      </c>
      <c r="B335" s="20">
        <f>IFERROR(__xludf.DUMMYFUNCTION("""COMPUTED_VALUE"""),2.572)</f>
        <v>2.572</v>
      </c>
      <c r="C335" s="21">
        <f>IFERROR(__xludf.DUMMYFUNCTION("""COMPUTED_VALUE"""),1.835)</f>
        <v>1.835</v>
      </c>
      <c r="D335" s="21">
        <f>IFERROR(__xludf.DUMMYFUNCTION("""COMPUTED_VALUE"""),2.795)</f>
        <v>2.795</v>
      </c>
      <c r="E335" s="20">
        <f>IFERROR(__xludf.DUMMYFUNCTION("""COMPUTED_VALUE"""),1.3060114285714286)</f>
        <v>1.306011429</v>
      </c>
      <c r="F335" s="20">
        <f>IFERROR(__xludf.DUMMYFUNCTION("""COMPUTED_VALUE"""),1.4123109607142854)</f>
        <v>1.412310961</v>
      </c>
      <c r="G335" s="20">
        <f>IFERROR(__xludf.DUMMYFUNCTION("""COMPUTED_VALUE"""),0.975849)</f>
        <v>0.975849</v>
      </c>
      <c r="H335" s="23"/>
      <c r="J335" s="22"/>
    </row>
    <row r="336">
      <c r="A336" s="24">
        <f>IFERROR(__xludf.DUMMYFUNCTION("""COMPUTED_VALUE"""),44896.0)</f>
        <v>44896</v>
      </c>
      <c r="B336" s="20">
        <f>IFERROR(__xludf.DUMMYFUNCTION("""COMPUTED_VALUE"""),2.572)</f>
        <v>2.572</v>
      </c>
      <c r="C336" s="21">
        <f>IFERROR(__xludf.DUMMYFUNCTION("""COMPUTED_VALUE"""),1.835)</f>
        <v>1.835</v>
      </c>
      <c r="D336" s="21">
        <f>IFERROR(__xludf.DUMMYFUNCTION("""COMPUTED_VALUE"""),2.795)</f>
        <v>2.795</v>
      </c>
      <c r="E336" s="20">
        <f>IFERROR(__xludf.DUMMYFUNCTION("""COMPUTED_VALUE"""),1.3448371428571428)</f>
        <v>1.344837143</v>
      </c>
      <c r="F336" s="20">
        <f>IFERROR(__xludf.DUMMYFUNCTION("""COMPUTED_VALUE"""),1.4285325428571427)</f>
        <v>1.428532543</v>
      </c>
      <c r="G336" s="20">
        <f>IFERROR(__xludf.DUMMYFUNCTION("""COMPUTED_VALUE"""),1.247)</f>
        <v>1.247</v>
      </c>
      <c r="H336" s="23"/>
      <c r="J336" s="22"/>
    </row>
    <row r="337">
      <c r="A337" s="24">
        <f>IFERROR(__xludf.DUMMYFUNCTION("""COMPUTED_VALUE"""),44897.0)</f>
        <v>44897</v>
      </c>
      <c r="B337" s="20">
        <f>IFERROR(__xludf.DUMMYFUNCTION("""COMPUTED_VALUE"""),2.572)</f>
        <v>2.572</v>
      </c>
      <c r="C337" s="21">
        <f>IFERROR(__xludf.DUMMYFUNCTION("""COMPUTED_VALUE"""),1.835)</f>
        <v>1.835</v>
      </c>
      <c r="D337" s="21">
        <f>IFERROR(__xludf.DUMMYFUNCTION("""COMPUTED_VALUE"""),2.795)</f>
        <v>2.795</v>
      </c>
      <c r="E337" s="20">
        <f>IFERROR(__xludf.DUMMYFUNCTION("""COMPUTED_VALUE"""),1.3789242857142858)</f>
        <v>1.378924286</v>
      </c>
      <c r="F337" s="20">
        <f>IFERROR(__xludf.DUMMYFUNCTION("""COMPUTED_VALUE"""),1.43713305)</f>
        <v>1.43713305</v>
      </c>
      <c r="G337" s="20">
        <f>IFERROR(__xludf.DUMMYFUNCTION("""COMPUTED_VALUE"""),1.247)</f>
        <v>1.247</v>
      </c>
      <c r="H337" s="23"/>
      <c r="J337" s="22"/>
    </row>
    <row r="338">
      <c r="A338" s="24">
        <f>IFERROR(__xludf.DUMMYFUNCTION("""COMPUTED_VALUE"""),44898.0)</f>
        <v>44898</v>
      </c>
      <c r="B338" s="20">
        <f>IFERROR(__xludf.DUMMYFUNCTION("""COMPUTED_VALUE"""),2.572)</f>
        <v>2.572</v>
      </c>
      <c r="C338" s="21">
        <f>IFERROR(__xludf.DUMMYFUNCTION("""COMPUTED_VALUE"""),1.835)</f>
        <v>1.835</v>
      </c>
      <c r="D338" s="21">
        <f>IFERROR(__xludf.DUMMYFUNCTION("""COMPUTED_VALUE"""),2.795)</f>
        <v>2.795</v>
      </c>
      <c r="E338" s="20">
        <f>IFERROR(__xludf.DUMMYFUNCTION("""COMPUTED_VALUE"""),1.4091900000000002)</f>
        <v>1.40919</v>
      </c>
      <c r="F338" s="20">
        <f>IFERROR(__xludf.DUMMYFUNCTION("""COMPUTED_VALUE"""),1.4457335571428571)</f>
        <v>1.445733557</v>
      </c>
      <c r="G338" s="20">
        <f>IFERROR(__xludf.DUMMYFUNCTION("""COMPUTED_VALUE"""),1.247)</f>
        <v>1.247</v>
      </c>
      <c r="H338" s="23"/>
      <c r="J338" s="22"/>
    </row>
    <row r="339">
      <c r="A339" s="19">
        <f>IFERROR(__xludf.DUMMYFUNCTION("""COMPUTED_VALUE"""),44899.0)</f>
        <v>44899</v>
      </c>
      <c r="B339" s="20">
        <f>IFERROR(__xludf.DUMMYFUNCTION("""COMPUTED_VALUE"""),2.572)</f>
        <v>2.572</v>
      </c>
      <c r="C339" s="21">
        <f>IFERROR(__xludf.DUMMYFUNCTION("""COMPUTED_VALUE"""),1.835)</f>
        <v>1.835</v>
      </c>
      <c r="D339" s="21">
        <f>IFERROR(__xludf.DUMMYFUNCTION("""COMPUTED_VALUE"""),2.795)</f>
        <v>2.795</v>
      </c>
      <c r="E339" s="20">
        <f>IFERROR(__xludf.DUMMYFUNCTION("""COMPUTED_VALUE"""),1.4394557142857143)</f>
        <v>1.439455714</v>
      </c>
      <c r="F339" s="20">
        <f>IFERROR(__xludf.DUMMYFUNCTION("""COMPUTED_VALUE"""),1.4543340642857139)</f>
        <v>1.454334064</v>
      </c>
      <c r="G339" s="20">
        <f>IFERROR(__xludf.DUMMYFUNCTION("""COMPUTED_VALUE"""),1.247)</f>
        <v>1.247</v>
      </c>
      <c r="H339" s="23"/>
      <c r="J339" s="22"/>
    </row>
    <row r="340">
      <c r="A340" s="19">
        <f>IFERROR(__xludf.DUMMYFUNCTION("""COMPUTED_VALUE"""),44900.0)</f>
        <v>44900</v>
      </c>
      <c r="B340" s="20">
        <f>IFERROR(__xludf.DUMMYFUNCTION("""COMPUTED_VALUE"""),2.58)</f>
        <v>2.58</v>
      </c>
      <c r="C340" s="21">
        <f>IFERROR(__xludf.DUMMYFUNCTION("""COMPUTED_VALUE"""),1.855)</f>
        <v>1.855</v>
      </c>
      <c r="D340" s="21">
        <f>IFERROR(__xludf.DUMMYFUNCTION("""COMPUTED_VALUE"""),2.795)</f>
        <v>2.795</v>
      </c>
      <c r="E340" s="20">
        <f>IFERROR(__xludf.DUMMYFUNCTION("""COMPUTED_VALUE"""),1.4620785714285716)</f>
        <v>1.462078571</v>
      </c>
      <c r="F340" s="20">
        <f>IFERROR(__xludf.DUMMYFUNCTION("""COMPUTED_VALUE"""),1.4640890249999996)</f>
        <v>1.464089025</v>
      </c>
      <c r="G340" s="20">
        <f>IFERROR(__xludf.DUMMYFUNCTION("""COMPUTED_VALUE"""),1.247)</f>
        <v>1.247</v>
      </c>
      <c r="H340" s="23"/>
      <c r="J340" s="22"/>
    </row>
    <row r="341">
      <c r="A341" s="19">
        <f>IFERROR(__xludf.DUMMYFUNCTION("""COMPUTED_VALUE"""),44901.0)</f>
        <v>44901</v>
      </c>
      <c r="B341" s="20">
        <f>IFERROR(__xludf.DUMMYFUNCTION("""COMPUTED_VALUE"""),2.58)</f>
        <v>2.58</v>
      </c>
      <c r="C341" s="21">
        <f>IFERROR(__xludf.DUMMYFUNCTION("""COMPUTED_VALUE"""),1.855)</f>
        <v>1.855</v>
      </c>
      <c r="D341" s="21">
        <f>IFERROR(__xludf.DUMMYFUNCTION("""COMPUTED_VALUE"""),2.795)</f>
        <v>2.795</v>
      </c>
      <c r="E341" s="20">
        <f>IFERROR(__xludf.DUMMYFUNCTION("""COMPUTED_VALUE"""),1.4793514285714284)</f>
        <v>1.479351429</v>
      </c>
      <c r="F341" s="20">
        <f>IFERROR(__xludf.DUMMYFUNCTION("""COMPUTED_VALUE"""),1.4699767)</f>
        <v>1.4699767</v>
      </c>
      <c r="G341" s="20">
        <f>IFERROR(__xludf.DUMMYFUNCTION("""COMPUTED_VALUE"""),1.247)</f>
        <v>1.247</v>
      </c>
      <c r="H341" s="23"/>
      <c r="J341" s="22"/>
    </row>
    <row r="342">
      <c r="A342" s="19">
        <f>IFERROR(__xludf.DUMMYFUNCTION("""COMPUTED_VALUE"""),44902.0)</f>
        <v>44902</v>
      </c>
      <c r="B342" s="20">
        <f>IFERROR(__xludf.DUMMYFUNCTION("""COMPUTED_VALUE"""),2.58)</f>
        <v>2.58</v>
      </c>
      <c r="C342" s="21">
        <f>IFERROR(__xludf.DUMMYFUNCTION("""COMPUTED_VALUE"""),1.855)</f>
        <v>1.855</v>
      </c>
      <c r="D342" s="21">
        <f>IFERROR(__xludf.DUMMYFUNCTION("""COMPUTED_VALUE"""),2.795)</f>
        <v>2.795</v>
      </c>
      <c r="E342" s="20">
        <f>IFERROR(__xludf.DUMMYFUNCTION("""COMPUTED_VALUE"""),1.4902042857142856)</f>
        <v>1.490204286</v>
      </c>
      <c r="F342" s="20">
        <f>IFERROR(__xludf.DUMMYFUNCTION("""COMPUTED_VALUE"""),1.478462182142857)</f>
        <v>1.478462182</v>
      </c>
      <c r="G342" s="20">
        <f>IFERROR(__xludf.DUMMYFUNCTION("""COMPUTED_VALUE"""),1.247)</f>
        <v>1.247</v>
      </c>
      <c r="H342" s="23"/>
      <c r="J342" s="22"/>
    </row>
    <row r="343">
      <c r="A343" s="19">
        <f>IFERROR(__xludf.DUMMYFUNCTION("""COMPUTED_VALUE"""),44903.0)</f>
        <v>44903</v>
      </c>
      <c r="B343" s="20">
        <f>IFERROR(__xludf.DUMMYFUNCTION("""COMPUTED_VALUE"""),2.58)</f>
        <v>2.58</v>
      </c>
      <c r="C343" s="21">
        <f>IFERROR(__xludf.DUMMYFUNCTION("""COMPUTED_VALUE"""),1.855)</f>
        <v>1.855</v>
      </c>
      <c r="D343" s="21">
        <f>IFERROR(__xludf.DUMMYFUNCTION("""COMPUTED_VALUE"""),2.795)</f>
        <v>2.795</v>
      </c>
      <c r="E343" s="20">
        <f>IFERROR(__xludf.DUMMYFUNCTION("""COMPUTED_VALUE"""),1.4897457142857142)</f>
        <v>1.489745714</v>
      </c>
      <c r="F343" s="20">
        <f>IFERROR(__xludf.DUMMYFUNCTION("""COMPUTED_VALUE"""),1.478210732142857)</f>
        <v>1.478210732</v>
      </c>
      <c r="G343" s="20">
        <f>IFERROR(__xludf.DUMMYFUNCTION("""COMPUTED_VALUE"""),1.247)</f>
        <v>1.247</v>
      </c>
      <c r="H343" s="23"/>
      <c r="J343" s="22"/>
    </row>
    <row r="344">
      <c r="A344" s="19">
        <f>IFERROR(__xludf.DUMMYFUNCTION("""COMPUTED_VALUE"""),44904.0)</f>
        <v>44904</v>
      </c>
      <c r="B344" s="20">
        <f>IFERROR(__xludf.DUMMYFUNCTION("""COMPUTED_VALUE"""),2.58)</f>
        <v>2.58</v>
      </c>
      <c r="C344" s="21">
        <f>IFERROR(__xludf.DUMMYFUNCTION("""COMPUTED_VALUE"""),1.855)</f>
        <v>1.855</v>
      </c>
      <c r="D344" s="21">
        <f>IFERROR(__xludf.DUMMYFUNCTION("""COMPUTED_VALUE"""),2.795)</f>
        <v>2.795</v>
      </c>
      <c r="E344" s="20">
        <f>IFERROR(__xludf.DUMMYFUNCTION("""COMPUTED_VALUE"""),1.4943314285714284)</f>
        <v>1.494331429</v>
      </c>
      <c r="F344" s="20">
        <f>IFERROR(__xludf.DUMMYFUNCTION("""COMPUTED_VALUE"""),1.4840857964285712)</f>
        <v>1.484085796</v>
      </c>
      <c r="G344" s="20">
        <f>IFERROR(__xludf.DUMMYFUNCTION("""COMPUTED_VALUE"""),1.247)</f>
        <v>1.247</v>
      </c>
      <c r="H344" s="23"/>
      <c r="J344" s="22"/>
    </row>
    <row r="345">
      <c r="A345" s="19">
        <f>IFERROR(__xludf.DUMMYFUNCTION("""COMPUTED_VALUE"""),44905.0)</f>
        <v>44905</v>
      </c>
      <c r="B345" s="20">
        <f>IFERROR(__xludf.DUMMYFUNCTION("""COMPUTED_VALUE"""),2.58)</f>
        <v>2.58</v>
      </c>
      <c r="C345" s="21">
        <f>IFERROR(__xludf.DUMMYFUNCTION("""COMPUTED_VALUE"""),1.855)</f>
        <v>1.855</v>
      </c>
      <c r="D345" s="21">
        <f>IFERROR(__xludf.DUMMYFUNCTION("""COMPUTED_VALUE"""),2.795)</f>
        <v>2.795</v>
      </c>
      <c r="E345" s="20">
        <f>IFERROR(__xludf.DUMMYFUNCTION("""COMPUTED_VALUE"""),1.5142028571428572)</f>
        <v>1.514202857</v>
      </c>
      <c r="F345" s="20">
        <f>IFERROR(__xludf.DUMMYFUNCTION("""COMPUTED_VALUE"""),1.4899608607142856)</f>
        <v>1.489960861</v>
      </c>
      <c r="G345" s="20">
        <f>IFERROR(__xludf.DUMMYFUNCTION("""COMPUTED_VALUE"""),1.247)</f>
        <v>1.247</v>
      </c>
      <c r="H345" s="23"/>
      <c r="J345" s="22"/>
    </row>
    <row r="346">
      <c r="A346" s="19">
        <f>IFERROR(__xludf.DUMMYFUNCTION("""COMPUTED_VALUE"""),44906.0)</f>
        <v>44906</v>
      </c>
      <c r="B346" s="20">
        <f>IFERROR(__xludf.DUMMYFUNCTION("""COMPUTED_VALUE"""),2.58)</f>
        <v>2.58</v>
      </c>
      <c r="C346" s="21">
        <f>IFERROR(__xludf.DUMMYFUNCTION("""COMPUTED_VALUE"""),1.855)</f>
        <v>1.855</v>
      </c>
      <c r="D346" s="21">
        <f>IFERROR(__xludf.DUMMYFUNCTION("""COMPUTED_VALUE"""),2.795)</f>
        <v>2.795</v>
      </c>
      <c r="E346" s="20">
        <f>IFERROR(__xludf.DUMMYFUNCTION("""COMPUTED_VALUE"""),1.5340742857142857)</f>
        <v>1.534074286</v>
      </c>
      <c r="F346" s="20">
        <f>IFERROR(__xludf.DUMMYFUNCTION("""COMPUTED_VALUE"""),1.4958359249999997)</f>
        <v>1.495835925</v>
      </c>
      <c r="G346" s="20">
        <f>IFERROR(__xludf.DUMMYFUNCTION("""COMPUTED_VALUE"""),1.247)</f>
        <v>1.247</v>
      </c>
      <c r="H346" s="23"/>
      <c r="J346" s="22"/>
    </row>
    <row r="347">
      <c r="A347" s="19">
        <f>IFERROR(__xludf.DUMMYFUNCTION("""COMPUTED_VALUE"""),44907.0)</f>
        <v>44907</v>
      </c>
      <c r="B347" s="20">
        <f>IFERROR(__xludf.DUMMYFUNCTION("""COMPUTED_VALUE"""),2.58)</f>
        <v>2.58</v>
      </c>
      <c r="C347" s="21">
        <f>IFERROR(__xludf.DUMMYFUNCTION("""COMPUTED_VALUE"""),1.855)</f>
        <v>1.855</v>
      </c>
      <c r="D347" s="21">
        <f>IFERROR(__xludf.DUMMYFUNCTION("""COMPUTED_VALUE"""),2.795)</f>
        <v>2.795</v>
      </c>
      <c r="E347" s="20">
        <f>IFERROR(__xludf.DUMMYFUNCTION("""COMPUTED_VALUE"""),1.5576142857142856)</f>
        <v>1.557614286</v>
      </c>
      <c r="F347" s="20">
        <f>IFERROR(__xludf.DUMMYFUNCTION("""COMPUTED_VALUE"""),1.5012952178571426)</f>
        <v>1.501295218</v>
      </c>
      <c r="G347" s="20">
        <f>IFERROR(__xludf.DUMMYFUNCTION("""COMPUTED_VALUE"""),1.247)</f>
        <v>1.247</v>
      </c>
      <c r="H347" s="23"/>
      <c r="J347" s="22"/>
    </row>
    <row r="348">
      <c r="A348" s="24">
        <f>IFERROR(__xludf.DUMMYFUNCTION("""COMPUTED_VALUE"""),44908.0)</f>
        <v>44908</v>
      </c>
      <c r="B348" s="20">
        <f>IFERROR(__xludf.DUMMYFUNCTION("""COMPUTED_VALUE"""),2.58)</f>
        <v>2.58</v>
      </c>
      <c r="C348" s="21">
        <f>IFERROR(__xludf.DUMMYFUNCTION("""COMPUTED_VALUE"""),1.855)</f>
        <v>1.855</v>
      </c>
      <c r="D348" s="21">
        <f>IFERROR(__xludf.DUMMYFUNCTION("""COMPUTED_VALUE"""),2.795)</f>
        <v>2.795</v>
      </c>
      <c r="E348" s="20">
        <f>IFERROR(__xludf.DUMMYFUNCTION("""COMPUTED_VALUE"""),1.5652571428571425)</f>
        <v>1.565257143</v>
      </c>
      <c r="F348" s="20">
        <f>IFERROR(__xludf.DUMMYFUNCTION("""COMPUTED_VALUE"""),1.5002985892857141)</f>
        <v>1.500298589</v>
      </c>
      <c r="G348" s="20">
        <f>IFERROR(__xludf.DUMMYFUNCTION("""COMPUTED_VALUE"""),1.247)</f>
        <v>1.247</v>
      </c>
      <c r="H348" s="23"/>
      <c r="J348" s="22"/>
    </row>
    <row r="349">
      <c r="A349" s="24">
        <f>IFERROR(__xludf.DUMMYFUNCTION("""COMPUTED_VALUE"""),44909.0)</f>
        <v>44909</v>
      </c>
      <c r="B349" s="20">
        <f>IFERROR(__xludf.DUMMYFUNCTION("""COMPUTED_VALUE"""),2.58)</f>
        <v>2.58</v>
      </c>
      <c r="C349" s="21">
        <f>IFERROR(__xludf.DUMMYFUNCTION("""COMPUTED_VALUE"""),1.855)</f>
        <v>1.855</v>
      </c>
      <c r="D349" s="21">
        <f>IFERROR(__xludf.DUMMYFUNCTION("""COMPUTED_VALUE"""),2.795)</f>
        <v>2.795</v>
      </c>
      <c r="E349" s="20">
        <f>IFERROR(__xludf.DUMMYFUNCTION("""COMPUTED_VALUE"""),1.5672442857142859)</f>
        <v>1.567244286</v>
      </c>
      <c r="F349" s="20">
        <f>IFERROR(__xludf.DUMMYFUNCTION("""COMPUTED_VALUE"""),1.4751195785714286)</f>
        <v>1.475119579</v>
      </c>
      <c r="G349" s="20">
        <f>IFERROR(__xludf.DUMMYFUNCTION("""COMPUTED_VALUE"""),1.247)</f>
        <v>1.247</v>
      </c>
      <c r="H349" s="23"/>
      <c r="J349" s="22"/>
    </row>
    <row r="350">
      <c r="A350" s="24">
        <f>IFERROR(__xludf.DUMMYFUNCTION("""COMPUTED_VALUE"""),44910.0)</f>
        <v>44910</v>
      </c>
      <c r="B350" s="20">
        <f>IFERROR(__xludf.DUMMYFUNCTION("""COMPUTED_VALUE"""),2.58)</f>
        <v>2.58</v>
      </c>
      <c r="C350" s="21">
        <f>IFERROR(__xludf.DUMMYFUNCTION("""COMPUTED_VALUE"""),1.855)</f>
        <v>1.855</v>
      </c>
      <c r="D350" s="21">
        <f>IFERROR(__xludf.DUMMYFUNCTION("""COMPUTED_VALUE"""),2.795)</f>
        <v>2.795</v>
      </c>
      <c r="E350" s="20">
        <f>IFERROR(__xludf.DUMMYFUNCTION("""COMPUTED_VALUE"""),1.5481371428571429)</f>
        <v>1.548137143</v>
      </c>
      <c r="F350" s="20">
        <f>IFERROR(__xludf.DUMMYFUNCTION("""COMPUTED_VALUE"""),1.4672631035714285)</f>
        <v>1.467263104</v>
      </c>
      <c r="G350" s="20">
        <f>IFERROR(__xludf.DUMMYFUNCTION("""COMPUTED_VALUE"""),1.247)</f>
        <v>1.247</v>
      </c>
      <c r="H350" s="23"/>
      <c r="J350" s="22"/>
    </row>
    <row r="351">
      <c r="A351" s="24">
        <f>IFERROR(__xludf.DUMMYFUNCTION("""COMPUTED_VALUE"""),44911.0)</f>
        <v>44911</v>
      </c>
      <c r="B351" s="20">
        <f>IFERROR(__xludf.DUMMYFUNCTION("""COMPUTED_VALUE"""),2.58)</f>
        <v>2.58</v>
      </c>
      <c r="C351" s="21">
        <f>IFERROR(__xludf.DUMMYFUNCTION("""COMPUTED_VALUE"""),1.855)</f>
        <v>1.855</v>
      </c>
      <c r="D351" s="21">
        <f>IFERROR(__xludf.DUMMYFUNCTION("""COMPUTED_VALUE"""),2.795)</f>
        <v>2.795</v>
      </c>
      <c r="E351" s="20">
        <f>IFERROR(__xludf.DUMMYFUNCTION("""COMPUTED_VALUE"""),1.5331571428571429)</f>
        <v>1.533157143</v>
      </c>
      <c r="F351" s="20">
        <f>IFERROR(__xludf.DUMMYFUNCTION("""COMPUTED_VALUE"""),1.4335527535714285)</f>
        <v>1.433552754</v>
      </c>
      <c r="G351" s="20">
        <f>IFERROR(__xludf.DUMMYFUNCTION("""COMPUTED_VALUE"""),1.247)</f>
        <v>1.247</v>
      </c>
      <c r="H351" s="23"/>
      <c r="J351" s="22"/>
    </row>
    <row r="352">
      <c r="A352" s="24">
        <f>IFERROR(__xludf.DUMMYFUNCTION("""COMPUTED_VALUE"""),44912.0)</f>
        <v>44912</v>
      </c>
      <c r="B352" s="20">
        <f>IFERROR(__xludf.DUMMYFUNCTION("""COMPUTED_VALUE"""),2.58)</f>
        <v>2.58</v>
      </c>
      <c r="C352" s="21">
        <f>IFERROR(__xludf.DUMMYFUNCTION("""COMPUTED_VALUE"""),1.855)</f>
        <v>1.855</v>
      </c>
      <c r="D352" s="21">
        <f>IFERROR(__xludf.DUMMYFUNCTION("""COMPUTED_VALUE"""),2.795)</f>
        <v>2.795</v>
      </c>
      <c r="E352" s="20">
        <f>IFERROR(__xludf.DUMMYFUNCTION("""COMPUTED_VALUE"""),1.4857714285714285)</f>
        <v>1.485771429</v>
      </c>
      <c r="F352" s="20">
        <f>IFERROR(__xludf.DUMMYFUNCTION("""COMPUTED_VALUE"""),1.3998424035714283)</f>
        <v>1.399842404</v>
      </c>
      <c r="G352" s="20">
        <f>IFERROR(__xludf.DUMMYFUNCTION("""COMPUTED_VALUE"""),1.247)</f>
        <v>1.247</v>
      </c>
      <c r="H352" s="23"/>
      <c r="J352" s="22"/>
    </row>
    <row r="353">
      <c r="A353" s="24">
        <f>IFERROR(__xludf.DUMMYFUNCTION("""COMPUTED_VALUE"""),44913.0)</f>
        <v>44913</v>
      </c>
      <c r="B353" s="20">
        <f>IFERROR(__xludf.DUMMYFUNCTION("""COMPUTED_VALUE"""),2.58)</f>
        <v>2.58</v>
      </c>
      <c r="C353" s="21">
        <f>IFERROR(__xludf.DUMMYFUNCTION("""COMPUTED_VALUE"""),1.855)</f>
        <v>1.855</v>
      </c>
      <c r="D353" s="21">
        <f>IFERROR(__xludf.DUMMYFUNCTION("""COMPUTED_VALUE"""),2.795)</f>
        <v>2.795</v>
      </c>
      <c r="E353" s="20">
        <f>IFERROR(__xludf.DUMMYFUNCTION("""COMPUTED_VALUE"""),1.438385714285714)</f>
        <v>1.438385714</v>
      </c>
      <c r="F353" s="20">
        <f>IFERROR(__xludf.DUMMYFUNCTION("""COMPUTED_VALUE"""),1.3661320535714283)</f>
        <v>1.366132054</v>
      </c>
      <c r="G353" s="20">
        <f>IFERROR(__xludf.DUMMYFUNCTION("""COMPUTED_VALUE"""),1.247)</f>
        <v>1.247</v>
      </c>
      <c r="H353" s="23"/>
      <c r="J353" s="22"/>
    </row>
    <row r="354">
      <c r="A354" s="24">
        <f>IFERROR(__xludf.DUMMYFUNCTION("""COMPUTED_VALUE"""),44914.0)</f>
        <v>44914</v>
      </c>
      <c r="B354" s="20">
        <f>IFERROR(__xludf.DUMMYFUNCTION("""COMPUTED_VALUE"""),2.58)</f>
        <v>2.58</v>
      </c>
      <c r="C354" s="21">
        <f>IFERROR(__xludf.DUMMYFUNCTION("""COMPUTED_VALUE"""),1.855)</f>
        <v>1.855</v>
      </c>
      <c r="D354" s="21">
        <f>IFERROR(__xludf.DUMMYFUNCTION("""COMPUTED_VALUE"""),2.795)</f>
        <v>2.795</v>
      </c>
      <c r="E354" s="20">
        <f>IFERROR(__xludf.DUMMYFUNCTION("""COMPUTED_VALUE"""),1.3894714285714287)</f>
        <v>1.389471429</v>
      </c>
      <c r="F354" s="20">
        <f>IFERROR(__xludf.DUMMYFUNCTION("""COMPUTED_VALUE"""),1.3259279499999999)</f>
        <v>1.32592795</v>
      </c>
      <c r="G354" s="20">
        <f>IFERROR(__xludf.DUMMYFUNCTION("""COMPUTED_VALUE"""),1.247)</f>
        <v>1.247</v>
      </c>
      <c r="H354" s="23"/>
      <c r="J354" s="22"/>
    </row>
    <row r="355">
      <c r="A355" s="24">
        <f>IFERROR(__xludf.DUMMYFUNCTION("""COMPUTED_VALUE"""),44915.0)</f>
        <v>44915</v>
      </c>
      <c r="B355" s="20">
        <f>IFERROR(__xludf.DUMMYFUNCTION("""COMPUTED_VALUE"""),2.58)</f>
        <v>2.58</v>
      </c>
      <c r="C355" s="21">
        <f>IFERROR(__xludf.DUMMYFUNCTION("""COMPUTED_VALUE"""),1.855)</f>
        <v>1.855</v>
      </c>
      <c r="D355" s="21">
        <f>IFERROR(__xludf.DUMMYFUNCTION("""COMPUTED_VALUE"""),2.795)</f>
        <v>2.795</v>
      </c>
      <c r="E355" s="20">
        <f>IFERROR(__xludf.DUMMYFUNCTION("""COMPUTED_VALUE"""),1.34071)</f>
        <v>1.34071</v>
      </c>
      <c r="F355" s="20">
        <f>IFERROR(__xludf.DUMMYFUNCTION("""COMPUTED_VALUE"""),1.2828077142857144)</f>
        <v>1.282807714</v>
      </c>
      <c r="G355" s="20">
        <f>IFERROR(__xludf.DUMMYFUNCTION("""COMPUTED_VALUE"""),1.247)</f>
        <v>1.247</v>
      </c>
      <c r="H355" s="23"/>
      <c r="J355" s="22"/>
    </row>
    <row r="356">
      <c r="A356" s="24">
        <f>IFERROR(__xludf.DUMMYFUNCTION("""COMPUTED_VALUE"""),44916.0)</f>
        <v>44916</v>
      </c>
      <c r="B356" s="20">
        <f>IFERROR(__xludf.DUMMYFUNCTION("""COMPUTED_VALUE"""),2.58)</f>
        <v>2.58</v>
      </c>
      <c r="C356" s="21">
        <f>IFERROR(__xludf.DUMMYFUNCTION("""COMPUTED_VALUE"""),1.855)</f>
        <v>1.855</v>
      </c>
      <c r="D356" s="21">
        <f>IFERROR(__xludf.DUMMYFUNCTION("""COMPUTED_VALUE"""),2.795)</f>
        <v>2.795</v>
      </c>
      <c r="E356" s="20">
        <f>IFERROR(__xludf.DUMMYFUNCTION("""COMPUTED_VALUE"""),1.2835414285714286)</f>
        <v>1.283541429</v>
      </c>
      <c r="F356" s="20">
        <f>IFERROR(__xludf.DUMMYFUNCTION("""COMPUTED_VALUE"""),1.2375994499999998)</f>
        <v>1.23759945</v>
      </c>
      <c r="G356" s="20">
        <f>IFERROR(__xludf.DUMMYFUNCTION("""COMPUTED_VALUE"""),1.247)</f>
        <v>1.247</v>
      </c>
      <c r="H356" s="23"/>
      <c r="J356" s="22"/>
    </row>
    <row r="357">
      <c r="A357" s="24">
        <f>IFERROR(__xludf.DUMMYFUNCTION("""COMPUTED_VALUE"""),44917.0)</f>
        <v>44917</v>
      </c>
      <c r="B357" s="20">
        <f>IFERROR(__xludf.DUMMYFUNCTION("""COMPUTED_VALUE"""),2.58)</f>
        <v>2.58</v>
      </c>
      <c r="C357" s="21">
        <f>IFERROR(__xludf.DUMMYFUNCTION("""COMPUTED_VALUE"""),1.855)</f>
        <v>1.855</v>
      </c>
      <c r="D357" s="21">
        <f>IFERROR(__xludf.DUMMYFUNCTION("""COMPUTED_VALUE"""),2.795)</f>
        <v>2.795</v>
      </c>
      <c r="E357" s="20">
        <f>IFERROR(__xludf.DUMMYFUNCTION("""COMPUTED_VALUE"""),1.224232857142857)</f>
        <v>1.224232857</v>
      </c>
      <c r="F357" s="20">
        <f>IFERROR(__xludf.DUMMYFUNCTION("""COMPUTED_VALUE"""),1.1805638642857141)</f>
        <v>1.180563864</v>
      </c>
      <c r="G357" s="20">
        <f>IFERROR(__xludf.DUMMYFUNCTION("""COMPUTED_VALUE"""),1.247)</f>
        <v>1.247</v>
      </c>
      <c r="H357" s="23"/>
      <c r="J357" s="22"/>
    </row>
    <row r="358">
      <c r="A358" s="24">
        <f>IFERROR(__xludf.DUMMYFUNCTION("""COMPUTED_VALUE"""),44918.0)</f>
        <v>44918</v>
      </c>
      <c r="B358" s="20">
        <f>IFERROR(__xludf.DUMMYFUNCTION("""COMPUTED_VALUE"""),2.58)</f>
        <v>2.58</v>
      </c>
      <c r="C358" s="21">
        <f>IFERROR(__xludf.DUMMYFUNCTION("""COMPUTED_VALUE"""),1.855)</f>
        <v>1.855</v>
      </c>
      <c r="D358" s="21">
        <f>IFERROR(__xludf.DUMMYFUNCTION("""COMPUTED_VALUE"""),2.795)</f>
        <v>2.795</v>
      </c>
      <c r="E358" s="20">
        <f>IFERROR(__xludf.DUMMYFUNCTION("""COMPUTED_VALUE"""),1.1464285714285716)</f>
        <v>1.146428571</v>
      </c>
      <c r="F358" s="20">
        <f>IFERROR(__xludf.DUMMYFUNCTION("""COMPUTED_VALUE"""),1.1416540785714286)</f>
        <v>1.141654079</v>
      </c>
      <c r="G358" s="20">
        <f>IFERROR(__xludf.DUMMYFUNCTION("""COMPUTED_VALUE"""),1.247)</f>
        <v>1.247</v>
      </c>
      <c r="H358" s="23"/>
      <c r="J358" s="22"/>
    </row>
    <row r="359">
      <c r="A359" s="24">
        <f>IFERROR(__xludf.DUMMYFUNCTION("""COMPUTED_VALUE"""),44919.0)</f>
        <v>44919</v>
      </c>
      <c r="B359" s="20">
        <f>IFERROR(__xludf.DUMMYFUNCTION("""COMPUTED_VALUE"""),2.58)</f>
        <v>2.58</v>
      </c>
      <c r="C359" s="21">
        <f>IFERROR(__xludf.DUMMYFUNCTION("""COMPUTED_VALUE"""),1.855)</f>
        <v>1.855</v>
      </c>
      <c r="D359" s="21">
        <f>IFERROR(__xludf.DUMMYFUNCTION("""COMPUTED_VALUE"""),2.795)</f>
        <v>2.795</v>
      </c>
      <c r="E359" s="20">
        <f>IFERROR(__xludf.DUMMYFUNCTION("""COMPUTED_VALUE"""),1.0929285714285712)</f>
        <v>1.092928571</v>
      </c>
      <c r="F359" s="20">
        <f>IFERROR(__xludf.DUMMYFUNCTION("""COMPUTED_VALUE"""),1.102744292857143)</f>
        <v>1.102744293</v>
      </c>
      <c r="G359" s="20">
        <f>IFERROR(__xludf.DUMMYFUNCTION("""COMPUTED_VALUE"""),1.247)</f>
        <v>1.247</v>
      </c>
      <c r="H359" s="23"/>
      <c r="J359" s="22"/>
    </row>
    <row r="360">
      <c r="A360" s="24">
        <f>IFERROR(__xludf.DUMMYFUNCTION("""COMPUTED_VALUE"""),44920.0)</f>
        <v>44920</v>
      </c>
      <c r="B360" s="20">
        <f>IFERROR(__xludf.DUMMYFUNCTION("""COMPUTED_VALUE"""),2.58)</f>
        <v>2.58</v>
      </c>
      <c r="C360" s="21">
        <f>IFERROR(__xludf.DUMMYFUNCTION("""COMPUTED_VALUE"""),1.855)</f>
        <v>1.855</v>
      </c>
      <c r="D360" s="21">
        <f>IFERROR(__xludf.DUMMYFUNCTION("""COMPUTED_VALUE"""),2.795)</f>
        <v>2.795</v>
      </c>
      <c r="E360" s="20">
        <f>IFERROR(__xludf.DUMMYFUNCTION("""COMPUTED_VALUE"""),1.0394285714285714)</f>
        <v>1.039428571</v>
      </c>
      <c r="F360" s="20">
        <f>IFERROR(__xludf.DUMMYFUNCTION("""COMPUTED_VALUE"""),1.0638345071428572)</f>
        <v>1.063834507</v>
      </c>
      <c r="G360" s="20">
        <f>IFERROR(__xludf.DUMMYFUNCTION("""COMPUTED_VALUE"""),1.247)</f>
        <v>1.247</v>
      </c>
      <c r="H360" s="23"/>
      <c r="J360" s="22"/>
    </row>
    <row r="361">
      <c r="A361" s="24">
        <f>IFERROR(__xludf.DUMMYFUNCTION("""COMPUTED_VALUE"""),44921.0)</f>
        <v>44921</v>
      </c>
      <c r="B361" s="20">
        <f>IFERROR(__xludf.DUMMYFUNCTION("""COMPUTED_VALUE"""),2.58)</f>
        <v>2.58</v>
      </c>
      <c r="C361" s="21">
        <f>IFERROR(__xludf.DUMMYFUNCTION("""COMPUTED_VALUE"""),1.855)</f>
        <v>1.855</v>
      </c>
      <c r="D361" s="21">
        <f>IFERROR(__xludf.DUMMYFUNCTION("""COMPUTED_VALUE"""),2.795)</f>
        <v>2.795</v>
      </c>
      <c r="E361" s="20">
        <f>IFERROR(__xludf.DUMMYFUNCTION("""COMPUTED_VALUE"""),0.9782857142857141)</f>
        <v>0.9782857143</v>
      </c>
      <c r="F361" s="20">
        <f>IFERROR(__xludf.DUMMYFUNCTION("""COMPUTED_VALUE"""),1.0335772)</f>
        <v>1.0335772</v>
      </c>
      <c r="G361" s="20">
        <f>IFERROR(__xludf.DUMMYFUNCTION("""COMPUTED_VALUE"""),1.247)</f>
        <v>1.247</v>
      </c>
      <c r="H361" s="23"/>
      <c r="J361" s="22"/>
    </row>
    <row r="362">
      <c r="A362" s="24">
        <f>IFERROR(__xludf.DUMMYFUNCTION("""COMPUTED_VALUE"""),44922.0)</f>
        <v>44922</v>
      </c>
      <c r="B362" s="20">
        <f>IFERROR(__xludf.DUMMYFUNCTION("""COMPUTED_VALUE"""),2.58)</f>
        <v>2.58</v>
      </c>
      <c r="C362" s="21">
        <f>IFERROR(__xludf.DUMMYFUNCTION("""COMPUTED_VALUE"""),1.855)</f>
        <v>1.855</v>
      </c>
      <c r="D362" s="21">
        <f>IFERROR(__xludf.DUMMYFUNCTION("""COMPUTED_VALUE"""),2.795)</f>
        <v>2.795</v>
      </c>
      <c r="E362" s="20">
        <f>IFERROR(__xludf.DUMMYFUNCTION("""COMPUTED_VALUE"""),0.9399185714285715)</f>
        <v>0.9399185714</v>
      </c>
      <c r="F362" s="20">
        <f>IFERROR(__xludf.DUMMYFUNCTION("""COMPUTED_VALUE"""),1.0009601607142857)</f>
        <v>1.000960161</v>
      </c>
      <c r="G362" s="20">
        <f>IFERROR(__xludf.DUMMYFUNCTION("""COMPUTED_VALUE"""),1.247)</f>
        <v>1.247</v>
      </c>
      <c r="H362" s="23"/>
      <c r="J362" s="22"/>
    </row>
    <row r="363">
      <c r="A363" s="24">
        <f>IFERROR(__xludf.DUMMYFUNCTION("""COMPUTED_VALUE"""),44923.0)</f>
        <v>44923</v>
      </c>
      <c r="B363" s="20">
        <f>IFERROR(__xludf.DUMMYFUNCTION("""COMPUTED_VALUE"""),2.58)</f>
        <v>2.58</v>
      </c>
      <c r="C363" s="21">
        <f>IFERROR(__xludf.DUMMYFUNCTION("""COMPUTED_VALUE"""),1.855)</f>
        <v>1.855</v>
      </c>
      <c r="D363" s="21">
        <f>IFERROR(__xludf.DUMMYFUNCTION("""COMPUTED_VALUE"""),2.795)</f>
        <v>2.795</v>
      </c>
      <c r="E363" s="20">
        <f>IFERROR(__xludf.DUMMYFUNCTION("""COMPUTED_VALUE"""),0.9015514285714284)</f>
        <v>0.9015514286</v>
      </c>
      <c r="F363" s="20">
        <f>IFERROR(__xludf.DUMMYFUNCTION("""COMPUTED_VALUE"""),0.9808475999999998)</f>
        <v>0.9808476</v>
      </c>
      <c r="G363" s="20">
        <f>IFERROR(__xludf.DUMMYFUNCTION("""COMPUTED_VALUE"""),1.247)</f>
        <v>1.247</v>
      </c>
      <c r="H363" s="23"/>
      <c r="J363" s="22"/>
    </row>
    <row r="364">
      <c r="A364" s="24">
        <f>IFERROR(__xludf.DUMMYFUNCTION("""COMPUTED_VALUE"""),44924.0)</f>
        <v>44924</v>
      </c>
      <c r="B364" s="20">
        <f>IFERROR(__xludf.DUMMYFUNCTION("""COMPUTED_VALUE"""),2.58)</f>
        <v>2.58</v>
      </c>
      <c r="C364" s="21">
        <f>IFERROR(__xludf.DUMMYFUNCTION("""COMPUTED_VALUE"""),1.855)</f>
        <v>1.855</v>
      </c>
      <c r="D364" s="21">
        <f>IFERROR(__xludf.DUMMYFUNCTION("""COMPUTED_VALUE"""),2.795)</f>
        <v>2.795</v>
      </c>
      <c r="E364" s="20">
        <f>IFERROR(__xludf.DUMMYFUNCTION("""COMPUTED_VALUE"""),0.874342857142857)</f>
        <v>0.8743428571</v>
      </c>
      <c r="F364" s="20">
        <f>IFERROR(__xludf.DUMMYFUNCTION("""COMPUTED_VALUE"""),0.97180075)</f>
        <v>0.97180075</v>
      </c>
      <c r="G364" s="20">
        <f>IFERROR(__xludf.DUMMYFUNCTION("""COMPUTED_VALUE"""),1.247)</f>
        <v>1.247</v>
      </c>
      <c r="H364" s="23"/>
      <c r="J364" s="22"/>
    </row>
    <row r="365">
      <c r="A365" s="24">
        <f>IFERROR(__xludf.DUMMYFUNCTION("""COMPUTED_VALUE"""),44925.0)</f>
        <v>44925</v>
      </c>
      <c r="B365" s="20">
        <f>IFERROR(__xludf.DUMMYFUNCTION("""COMPUTED_VALUE"""),2.58)</f>
        <v>2.58</v>
      </c>
      <c r="C365" s="21">
        <f>IFERROR(__xludf.DUMMYFUNCTION("""COMPUTED_VALUE"""),1.855)</f>
        <v>1.855</v>
      </c>
      <c r="D365" s="21">
        <f>IFERROR(__xludf.DUMMYFUNCTION("""COMPUTED_VALUE"""),2.795)</f>
        <v>2.795</v>
      </c>
      <c r="E365" s="20">
        <f>IFERROR(__xludf.DUMMYFUNCTION("""COMPUTED_VALUE"""),0.8631842857142856)</f>
        <v>0.8631842857</v>
      </c>
      <c r="F365" s="20">
        <f>IFERROR(__xludf.DUMMYFUNCTION("""COMPUTED_VALUE"""),0.9556036250000001)</f>
        <v>0.955603625</v>
      </c>
      <c r="G365" s="20">
        <f>IFERROR(__xludf.DUMMYFUNCTION("""COMPUTED_VALUE"""),1.247)</f>
        <v>1.247</v>
      </c>
      <c r="H365" s="23"/>
      <c r="J365" s="22"/>
    </row>
    <row r="366">
      <c r="A366" s="24">
        <f>IFERROR(__xludf.DUMMYFUNCTION("""COMPUTED_VALUE"""),44926.0)</f>
        <v>44926</v>
      </c>
      <c r="B366" s="20">
        <f>IFERROR(__xludf.DUMMYFUNCTION("""COMPUTED_VALUE"""),2.58)</f>
        <v>2.58</v>
      </c>
      <c r="C366" s="21">
        <f>IFERROR(__xludf.DUMMYFUNCTION("""COMPUTED_VALUE"""),1.855)</f>
        <v>1.855</v>
      </c>
      <c r="D366" s="21">
        <f>IFERROR(__xludf.DUMMYFUNCTION("""COMPUTED_VALUE"""),2.795)</f>
        <v>2.795</v>
      </c>
      <c r="E366" s="20">
        <f>IFERROR(__xludf.DUMMYFUNCTION("""COMPUTED_VALUE"""),0.847592857142857)</f>
        <v>0.8475928571</v>
      </c>
      <c r="F366" s="20">
        <f>IFERROR(__xludf.DUMMYFUNCTION("""COMPUTED_VALUE"""),0.9394064999999999)</f>
        <v>0.9394065</v>
      </c>
      <c r="G366" s="20">
        <f>IFERROR(__xludf.DUMMYFUNCTION("""COMPUTED_VALUE"""),1.247)</f>
        <v>1.247</v>
      </c>
      <c r="H366" s="23"/>
      <c r="J366" s="22"/>
    </row>
    <row r="367">
      <c r="A367" s="24">
        <f>IFERROR(__xludf.DUMMYFUNCTION("""COMPUTED_VALUE"""),44927.0)</f>
        <v>44927</v>
      </c>
      <c r="B367" s="20">
        <f>IFERROR(__xludf.DUMMYFUNCTION("""COMPUTED_VALUE"""),2.58)</f>
        <v>2.58</v>
      </c>
      <c r="C367" s="21">
        <f>IFERROR(__xludf.DUMMYFUNCTION("""COMPUTED_VALUE"""),1.855)</f>
        <v>1.855</v>
      </c>
      <c r="D367" s="21">
        <f>IFERROR(__xludf.DUMMYFUNCTION("""COMPUTED_VALUE"""),2.795)</f>
        <v>2.795</v>
      </c>
      <c r="E367" s="20">
        <f>IFERROR(__xludf.DUMMYFUNCTION("""COMPUTED_VALUE"""),0.8320014285714284)</f>
        <v>0.8320014286</v>
      </c>
      <c r="F367" s="20">
        <f>IFERROR(__xludf.DUMMYFUNCTION("""COMPUTED_VALUE"""),0.923209375)</f>
        <v>0.923209375</v>
      </c>
      <c r="G367" s="20">
        <f>IFERROR(__xludf.DUMMYFUNCTION("""COMPUTED_VALUE"""),0.731)</f>
        <v>0.731</v>
      </c>
      <c r="H367" s="23"/>
      <c r="J367" s="22"/>
    </row>
    <row r="368">
      <c r="A368" s="24">
        <f>IFERROR(__xludf.DUMMYFUNCTION("""COMPUTED_VALUE"""),44928.0)</f>
        <v>44928</v>
      </c>
      <c r="B368" s="20">
        <f>IFERROR(__xludf.DUMMYFUNCTION("""COMPUTED_VALUE"""),2.58)</f>
        <v>2.58</v>
      </c>
      <c r="C368" s="21">
        <f>IFERROR(__xludf.DUMMYFUNCTION("""COMPUTED_VALUE"""),1.855)</f>
        <v>1.855</v>
      </c>
      <c r="D368" s="21">
        <f>IFERROR(__xludf.DUMMYFUNCTION("""COMPUTED_VALUE"""),2.795)</f>
        <v>2.795</v>
      </c>
      <c r="E368" s="20">
        <f>IFERROR(__xludf.DUMMYFUNCTION("""COMPUTED_VALUE"""),0.8226771428571428)</f>
        <v>0.8226771429</v>
      </c>
      <c r="F368" s="20">
        <f>IFERROR(__xludf.DUMMYFUNCTION("""COMPUTED_VALUE"""),0.9109337999999999)</f>
        <v>0.9109338</v>
      </c>
      <c r="G368" s="20">
        <f>IFERROR(__xludf.DUMMYFUNCTION("""COMPUTED_VALUE"""),0.731)</f>
        <v>0.731</v>
      </c>
      <c r="H368" s="23"/>
      <c r="J368" s="22"/>
    </row>
    <row r="369">
      <c r="A369" s="24">
        <f>IFERROR(__xludf.DUMMYFUNCTION("""COMPUTED_VALUE"""),44929.0)</f>
        <v>44929</v>
      </c>
      <c r="B369" s="20">
        <f>IFERROR(__xludf.DUMMYFUNCTION("""COMPUTED_VALUE"""),2.58)</f>
        <v>2.58</v>
      </c>
      <c r="C369" s="21">
        <f>IFERROR(__xludf.DUMMYFUNCTION("""COMPUTED_VALUE"""),1.855)</f>
        <v>1.855</v>
      </c>
      <c r="D369" s="21">
        <f>IFERROR(__xludf.DUMMYFUNCTION("""COMPUTED_VALUE"""),2.795)</f>
        <v>2.795</v>
      </c>
      <c r="E369" s="20">
        <f>IFERROR(__xludf.DUMMYFUNCTION("""COMPUTED_VALUE"""),0.8005128571428569)</f>
        <v>0.8005128571</v>
      </c>
      <c r="F369" s="20">
        <f>IFERROR(__xludf.DUMMYFUNCTION("""COMPUTED_VALUE"""),0.8988378321428571)</f>
        <v>0.8988378321</v>
      </c>
      <c r="G369" s="20">
        <f>IFERROR(__xludf.DUMMYFUNCTION("""COMPUTED_VALUE"""),0.731)</f>
        <v>0.731</v>
      </c>
      <c r="H369" s="23"/>
      <c r="J369" s="22"/>
    </row>
    <row r="370">
      <c r="A370" s="19">
        <f>IFERROR(__xludf.DUMMYFUNCTION("""COMPUTED_VALUE"""),44930.0)</f>
        <v>44930</v>
      </c>
      <c r="B370" s="20">
        <f>IFERROR(__xludf.DUMMYFUNCTION("""COMPUTED_VALUE"""),2.58)</f>
        <v>2.58</v>
      </c>
      <c r="C370" s="21">
        <f>IFERROR(__xludf.DUMMYFUNCTION("""COMPUTED_VALUE"""),1.855)</f>
        <v>1.855</v>
      </c>
      <c r="D370" s="21">
        <f>IFERROR(__xludf.DUMMYFUNCTION("""COMPUTED_VALUE"""),2.795)</f>
        <v>2.795</v>
      </c>
      <c r="E370" s="20">
        <f>IFERROR(__xludf.DUMMYFUNCTION("""COMPUTED_VALUE"""),0.7902714285714285)</f>
        <v>0.7902714286</v>
      </c>
      <c r="F370" s="20">
        <f>IFERROR(__xludf.DUMMYFUNCTION("""COMPUTED_VALUE"""),0.8724390214285714)</f>
        <v>0.8724390214</v>
      </c>
      <c r="G370" s="20">
        <f>IFERROR(__xludf.DUMMYFUNCTION("""COMPUTED_VALUE"""),0.731)</f>
        <v>0.731</v>
      </c>
      <c r="H370" s="23"/>
      <c r="J370" s="22"/>
    </row>
    <row r="371">
      <c r="A371" s="19">
        <f>IFERROR(__xludf.DUMMYFUNCTION("""COMPUTED_VALUE"""),44931.0)</f>
        <v>44931</v>
      </c>
      <c r="B371" s="20">
        <f>IFERROR(__xludf.DUMMYFUNCTION("""COMPUTED_VALUE"""),2.58)</f>
        <v>2.58</v>
      </c>
      <c r="C371" s="21">
        <f>IFERROR(__xludf.DUMMYFUNCTION("""COMPUTED_VALUE"""),1.855)</f>
        <v>1.855</v>
      </c>
      <c r="D371" s="21">
        <f>IFERROR(__xludf.DUMMYFUNCTION("""COMPUTED_VALUE"""),2.795)</f>
        <v>2.795</v>
      </c>
      <c r="E371" s="20">
        <f>IFERROR(__xludf.DUMMYFUNCTION("""COMPUTED_VALUE"""),0.7736099999999999)</f>
        <v>0.77361</v>
      </c>
      <c r="F371" s="20">
        <f>IFERROR(__xludf.DUMMYFUNCTION("""COMPUTED_VALUE"""),0.8520314464285714)</f>
        <v>0.8520314464</v>
      </c>
      <c r="G371" s="20">
        <f>IFERROR(__xludf.DUMMYFUNCTION("""COMPUTED_VALUE"""),0.731)</f>
        <v>0.731</v>
      </c>
      <c r="H371" s="23"/>
      <c r="J371" s="22"/>
    </row>
    <row r="372">
      <c r="A372" s="19">
        <f>IFERROR(__xludf.DUMMYFUNCTION("""COMPUTED_VALUE"""),44932.0)</f>
        <v>44932</v>
      </c>
      <c r="B372" s="20">
        <f>IFERROR(__xludf.DUMMYFUNCTION("""COMPUTED_VALUE"""),2.58)</f>
        <v>2.58</v>
      </c>
      <c r="C372" s="21">
        <f>IFERROR(__xludf.DUMMYFUNCTION("""COMPUTED_VALUE"""),1.855)</f>
        <v>1.855</v>
      </c>
      <c r="D372" s="21">
        <f>IFERROR(__xludf.DUMMYFUNCTION("""COMPUTED_VALUE"""),2.795)</f>
        <v>2.795</v>
      </c>
      <c r="E372" s="20">
        <f>IFERROR(__xludf.DUMMYFUNCTION("""COMPUTED_VALUE"""),0.7519042857142857)</f>
        <v>0.7519042857</v>
      </c>
      <c r="F372" s="20">
        <f>IFERROR(__xludf.DUMMYFUNCTION("""COMPUTED_VALUE"""),0.8452228071428571)</f>
        <v>0.8452228071</v>
      </c>
      <c r="G372" s="20">
        <f>IFERROR(__xludf.DUMMYFUNCTION("""COMPUTED_VALUE"""),0.731)</f>
        <v>0.731</v>
      </c>
      <c r="H372" s="23"/>
      <c r="J372" s="22"/>
    </row>
    <row r="373">
      <c r="A373" s="19">
        <f>IFERROR(__xludf.DUMMYFUNCTION("""COMPUTED_VALUE"""),44933.0)</f>
        <v>44933</v>
      </c>
      <c r="B373" s="20">
        <f>IFERROR(__xludf.DUMMYFUNCTION("""COMPUTED_VALUE"""),2.58)</f>
        <v>2.58</v>
      </c>
      <c r="C373" s="21">
        <f>IFERROR(__xludf.DUMMYFUNCTION("""COMPUTED_VALUE"""),1.855)</f>
        <v>1.855</v>
      </c>
      <c r="D373" s="21">
        <f>IFERROR(__xludf.DUMMYFUNCTION("""COMPUTED_VALUE"""),2.795)</f>
        <v>2.795</v>
      </c>
      <c r="E373" s="20">
        <f>IFERROR(__xludf.DUMMYFUNCTION("""COMPUTED_VALUE"""),0.7427328571428571)</f>
        <v>0.7427328571</v>
      </c>
      <c r="F373" s="20">
        <f>IFERROR(__xludf.DUMMYFUNCTION("""COMPUTED_VALUE"""),0.8384141678571428)</f>
        <v>0.8384141679</v>
      </c>
      <c r="G373" s="20">
        <f>IFERROR(__xludf.DUMMYFUNCTION("""COMPUTED_VALUE"""),0.731)</f>
        <v>0.731</v>
      </c>
      <c r="H373" s="23"/>
      <c r="J373" s="22"/>
    </row>
    <row r="374">
      <c r="A374" s="19">
        <f>IFERROR(__xludf.DUMMYFUNCTION("""COMPUTED_VALUE"""),44934.0)</f>
        <v>44934</v>
      </c>
      <c r="B374" s="20">
        <f>IFERROR(__xludf.DUMMYFUNCTION("""COMPUTED_VALUE"""),2.58)</f>
        <v>2.58</v>
      </c>
      <c r="C374" s="21">
        <f>IFERROR(__xludf.DUMMYFUNCTION("""COMPUTED_VALUE"""),1.855)</f>
        <v>1.855</v>
      </c>
      <c r="D374" s="21">
        <f>IFERROR(__xludf.DUMMYFUNCTION("""COMPUTED_VALUE"""),2.795)</f>
        <v>2.795</v>
      </c>
      <c r="E374" s="20">
        <f>IFERROR(__xludf.DUMMYFUNCTION("""COMPUTED_VALUE"""),0.7335614285714286)</f>
        <v>0.7335614286</v>
      </c>
      <c r="F374" s="20">
        <f>IFERROR(__xludf.DUMMYFUNCTION("""COMPUTED_VALUE"""),0.8316055285714284)</f>
        <v>0.8316055286</v>
      </c>
      <c r="G374" s="20">
        <f>IFERROR(__xludf.DUMMYFUNCTION("""COMPUTED_VALUE"""),0.731)</f>
        <v>0.731</v>
      </c>
      <c r="H374" s="23"/>
      <c r="J374" s="22"/>
    </row>
    <row r="375">
      <c r="A375" s="19">
        <f>IFERROR(__xludf.DUMMYFUNCTION("""COMPUTED_VALUE"""),44935.0)</f>
        <v>44935</v>
      </c>
      <c r="B375" s="20">
        <f>IFERROR(__xludf.DUMMYFUNCTION("""COMPUTED_VALUE"""),2.58)</f>
        <v>2.58</v>
      </c>
      <c r="C375" s="21">
        <f>IFERROR(__xludf.DUMMYFUNCTION("""COMPUTED_VALUE"""),1.855)</f>
        <v>1.855</v>
      </c>
      <c r="D375" s="21">
        <f>IFERROR(__xludf.DUMMYFUNCTION("""COMPUTED_VALUE"""),2.795)</f>
        <v>2.795</v>
      </c>
      <c r="E375" s="20">
        <f>IFERROR(__xludf.DUMMYFUNCTION("""COMPUTED_VALUE"""),0.724542857142857)</f>
        <v>0.7245428571</v>
      </c>
      <c r="F375" s="20">
        <f>IFERROR(__xludf.DUMMYFUNCTION("""COMPUTED_VALUE"""),0.8254358321428571)</f>
        <v>0.8254358321</v>
      </c>
      <c r="G375" s="20">
        <f>IFERROR(__xludf.DUMMYFUNCTION("""COMPUTED_VALUE"""),0.731)</f>
        <v>0.731</v>
      </c>
      <c r="H375" s="23"/>
      <c r="J375" s="22"/>
    </row>
    <row r="376">
      <c r="A376" s="19">
        <f>IFERROR(__xludf.DUMMYFUNCTION("""COMPUTED_VALUE"""),44936.0)</f>
        <v>44936</v>
      </c>
      <c r="B376" s="20">
        <f>IFERROR(__xludf.DUMMYFUNCTION("""COMPUTED_VALUE"""),2.58)</f>
        <v>2.58</v>
      </c>
      <c r="C376" s="21">
        <f>IFERROR(__xludf.DUMMYFUNCTION("""COMPUTED_VALUE"""),1.855)</f>
        <v>1.855</v>
      </c>
      <c r="D376" s="21">
        <f>IFERROR(__xludf.DUMMYFUNCTION("""COMPUTED_VALUE"""),2.795)</f>
        <v>2.795</v>
      </c>
      <c r="E376" s="20">
        <f>IFERROR(__xludf.DUMMYFUNCTION("""COMPUTED_VALUE"""),0.7283642857142857)</f>
        <v>0.7283642857</v>
      </c>
      <c r="F376" s="20">
        <f>IFERROR(__xludf.DUMMYFUNCTION("""COMPUTED_VALUE"""),0.8195607678571427)</f>
        <v>0.8195607679</v>
      </c>
      <c r="G376" s="20">
        <f>IFERROR(__xludf.DUMMYFUNCTION("""COMPUTED_VALUE"""),0.731)</f>
        <v>0.731</v>
      </c>
      <c r="H376" s="23"/>
      <c r="J376" s="22"/>
    </row>
    <row r="377">
      <c r="A377" s="19">
        <f>IFERROR(__xludf.DUMMYFUNCTION("""COMPUTED_VALUE"""),44937.0)</f>
        <v>44937</v>
      </c>
      <c r="B377" s="20">
        <f>IFERROR(__xludf.DUMMYFUNCTION("""COMPUTED_VALUE"""),2.58)</f>
        <v>2.58</v>
      </c>
      <c r="C377" s="21">
        <f>IFERROR(__xludf.DUMMYFUNCTION("""COMPUTED_VALUE"""),1.855)</f>
        <v>1.855</v>
      </c>
      <c r="D377" s="21">
        <f>IFERROR(__xludf.DUMMYFUNCTION("""COMPUTED_VALUE"""),2.795)</f>
        <v>2.795</v>
      </c>
      <c r="E377" s="20">
        <f>IFERROR(__xludf.DUMMYFUNCTION("""COMPUTED_VALUE"""),0.72867)</f>
        <v>0.72867</v>
      </c>
      <c r="F377" s="20">
        <f>IFERROR(__xludf.DUMMYFUNCTION("""COMPUTED_VALUE"""),0.8205115392857142)</f>
        <v>0.8205115393</v>
      </c>
      <c r="G377" s="20">
        <f>IFERROR(__xludf.DUMMYFUNCTION("""COMPUTED_VALUE"""),0.731)</f>
        <v>0.731</v>
      </c>
      <c r="H377" s="23"/>
      <c r="J377" s="22"/>
    </row>
    <row r="378">
      <c r="A378" s="19">
        <f>IFERROR(__xludf.DUMMYFUNCTION("""COMPUTED_VALUE"""),44938.0)</f>
        <v>44938</v>
      </c>
      <c r="B378" s="20">
        <f>IFERROR(__xludf.DUMMYFUNCTION("""COMPUTED_VALUE"""),2.58)</f>
        <v>2.58</v>
      </c>
      <c r="C378" s="21">
        <f>IFERROR(__xludf.DUMMYFUNCTION("""COMPUTED_VALUE"""),1.855)</f>
        <v>1.855</v>
      </c>
      <c r="D378" s="21">
        <f>IFERROR(__xludf.DUMMYFUNCTION("""COMPUTED_VALUE"""),2.795)</f>
        <v>2.795</v>
      </c>
      <c r="E378" s="20">
        <f>IFERROR(__xludf.DUMMYFUNCTION("""COMPUTED_VALUE"""),0.7324914285714285)</f>
        <v>0.7324914286</v>
      </c>
      <c r="F378" s="20">
        <f>IFERROR(__xludf.DUMMYFUNCTION("""COMPUTED_VALUE"""),0.8147247499999999)</f>
        <v>0.81472475</v>
      </c>
      <c r="G378" s="20">
        <f>IFERROR(__xludf.DUMMYFUNCTION("""COMPUTED_VALUE"""),0.731)</f>
        <v>0.731</v>
      </c>
      <c r="H378" s="23"/>
      <c r="J378" s="22"/>
    </row>
    <row r="379">
      <c r="A379" s="19">
        <f>IFERROR(__xludf.DUMMYFUNCTION("""COMPUTED_VALUE"""),44939.0)</f>
        <v>44939</v>
      </c>
      <c r="B379" s="20">
        <f>IFERROR(__xludf.DUMMYFUNCTION("""COMPUTED_VALUE"""),2.58)</f>
        <v>2.58</v>
      </c>
      <c r="C379" s="21">
        <f>IFERROR(__xludf.DUMMYFUNCTION("""COMPUTED_VALUE"""),1.855)</f>
        <v>1.855</v>
      </c>
      <c r="D379" s="21">
        <f>IFERROR(__xludf.DUMMYFUNCTION("""COMPUTED_VALUE"""),2.795)</f>
        <v>2.795</v>
      </c>
      <c r="E379" s="20">
        <f>IFERROR(__xludf.DUMMYFUNCTION("""COMPUTED_VALUE"""),0.7399814285714285)</f>
        <v>0.7399814286</v>
      </c>
      <c r="F379" s="20">
        <f>IFERROR(__xludf.DUMMYFUNCTION("""COMPUTED_VALUE"""),0.8056350999999998)</f>
        <v>0.8056351</v>
      </c>
      <c r="G379" s="20">
        <f>IFERROR(__xludf.DUMMYFUNCTION("""COMPUTED_VALUE"""),0.731)</f>
        <v>0.731</v>
      </c>
      <c r="H379" s="23"/>
      <c r="J379" s="22"/>
    </row>
    <row r="380">
      <c r="A380" s="19">
        <f>IFERROR(__xludf.DUMMYFUNCTION("""COMPUTED_VALUE"""),44940.0)</f>
        <v>44940</v>
      </c>
      <c r="B380" s="20">
        <f>IFERROR(__xludf.DUMMYFUNCTION("""COMPUTED_VALUE"""),2.58)</f>
        <v>2.58</v>
      </c>
      <c r="C380" s="21">
        <f>IFERROR(__xludf.DUMMYFUNCTION("""COMPUTED_VALUE"""),1.855)</f>
        <v>1.855</v>
      </c>
      <c r="D380" s="21">
        <f>IFERROR(__xludf.DUMMYFUNCTION("""COMPUTED_VALUE"""),2.795)</f>
        <v>2.795</v>
      </c>
      <c r="E380" s="20">
        <f>IFERROR(__xludf.DUMMYFUNCTION("""COMPUTED_VALUE"""),0.7402871428571427)</f>
        <v>0.7402871429</v>
      </c>
      <c r="F380" s="20">
        <f>IFERROR(__xludf.DUMMYFUNCTION("""COMPUTED_VALUE"""),0.79654545)</f>
        <v>0.79654545</v>
      </c>
      <c r="G380" s="20">
        <f>IFERROR(__xludf.DUMMYFUNCTION("""COMPUTED_VALUE"""),0.731)</f>
        <v>0.731</v>
      </c>
      <c r="H380" s="23"/>
      <c r="J380" s="22"/>
    </row>
    <row r="381">
      <c r="A381" s="19">
        <f>IFERROR(__xludf.DUMMYFUNCTION("""COMPUTED_VALUE"""),44941.0)</f>
        <v>44941</v>
      </c>
      <c r="B381" s="20">
        <f>IFERROR(__xludf.DUMMYFUNCTION("""COMPUTED_VALUE"""),2.58)</f>
        <v>2.58</v>
      </c>
      <c r="C381" s="21">
        <f>IFERROR(__xludf.DUMMYFUNCTION("""COMPUTED_VALUE"""),1.855)</f>
        <v>1.855</v>
      </c>
      <c r="D381" s="21">
        <f>IFERROR(__xludf.DUMMYFUNCTION("""COMPUTED_VALUE"""),2.795)</f>
        <v>2.795</v>
      </c>
      <c r="E381" s="20">
        <f>IFERROR(__xludf.DUMMYFUNCTION("""COMPUTED_VALUE"""),0.7405928571428572)</f>
        <v>0.7405928571</v>
      </c>
      <c r="F381" s="20">
        <f>IFERROR(__xludf.DUMMYFUNCTION("""COMPUTED_VALUE"""),0.7874557999999999)</f>
        <v>0.7874558</v>
      </c>
      <c r="G381" s="20">
        <f>IFERROR(__xludf.DUMMYFUNCTION("""COMPUTED_VALUE"""),0.731)</f>
        <v>0.731</v>
      </c>
      <c r="H381" s="23"/>
      <c r="J381" s="22"/>
    </row>
    <row r="382">
      <c r="A382" s="19">
        <f>IFERROR(__xludf.DUMMYFUNCTION("""COMPUTED_VALUE"""),44942.0)</f>
        <v>44942</v>
      </c>
      <c r="B382" s="20">
        <f>IFERROR(__xludf.DUMMYFUNCTION("""COMPUTED_VALUE"""),2.4899999999999998)</f>
        <v>2.49</v>
      </c>
      <c r="C382" s="21">
        <f>IFERROR(__xludf.DUMMYFUNCTION("""COMPUTED_VALUE"""),1.63)</f>
        <v>1.63</v>
      </c>
      <c r="D382" s="21">
        <f>IFERROR(__xludf.DUMMYFUNCTION("""COMPUTED_VALUE"""),2.795)</f>
        <v>2.795</v>
      </c>
      <c r="E382" s="20">
        <f>IFERROR(__xludf.DUMMYFUNCTION("""COMPUTED_VALUE"""),0.7384528571428571)</f>
        <v>0.7384528571</v>
      </c>
      <c r="F382" s="20">
        <f>IFERROR(__xludf.DUMMYFUNCTION("""COMPUTED_VALUE"""),0.7627177821428572)</f>
        <v>0.7627177821</v>
      </c>
      <c r="G382" s="20">
        <f>IFERROR(__xludf.DUMMYFUNCTION("""COMPUTED_VALUE"""),0.731)</f>
        <v>0.731</v>
      </c>
      <c r="H382" s="23"/>
      <c r="J382" s="22"/>
    </row>
    <row r="383">
      <c r="A383" s="19">
        <f>IFERROR(__xludf.DUMMYFUNCTION("""COMPUTED_VALUE"""),44943.0)</f>
        <v>44943</v>
      </c>
      <c r="B383" s="20">
        <f>IFERROR(__xludf.DUMMYFUNCTION("""COMPUTED_VALUE"""),2.4899999999999998)</f>
        <v>2.49</v>
      </c>
      <c r="C383" s="21">
        <f>IFERROR(__xludf.DUMMYFUNCTION("""COMPUTED_VALUE"""),1.63)</f>
        <v>1.63</v>
      </c>
      <c r="D383" s="21">
        <f>IFERROR(__xludf.DUMMYFUNCTION("""COMPUTED_VALUE"""),2.795)</f>
        <v>2.795</v>
      </c>
      <c r="E383" s="20">
        <f>IFERROR(__xludf.DUMMYFUNCTION("""COMPUTED_VALUE"""),0.7155242857142856)</f>
        <v>0.7155242857</v>
      </c>
      <c r="F383" s="20">
        <f>IFERROR(__xludf.DUMMYFUNCTION("""COMPUTED_VALUE"""),0.7470212642857142)</f>
        <v>0.7470212643</v>
      </c>
      <c r="G383" s="20">
        <f>IFERROR(__xludf.DUMMYFUNCTION("""COMPUTED_VALUE"""),0.731)</f>
        <v>0.731</v>
      </c>
      <c r="H383" s="23"/>
      <c r="J383" s="22"/>
    </row>
    <row r="384">
      <c r="A384" s="19">
        <f>IFERROR(__xludf.DUMMYFUNCTION("""COMPUTED_VALUE"""),44944.0)</f>
        <v>44944</v>
      </c>
      <c r="B384" s="20">
        <f>IFERROR(__xludf.DUMMYFUNCTION("""COMPUTED_VALUE"""),2.4899999999999998)</f>
        <v>2.49</v>
      </c>
      <c r="C384" s="21">
        <f>IFERROR(__xludf.DUMMYFUNCTION("""COMPUTED_VALUE"""),1.63)</f>
        <v>1.63</v>
      </c>
      <c r="D384" s="21">
        <f>IFERROR(__xludf.DUMMYFUNCTION("""COMPUTED_VALUE"""),2.795)</f>
        <v>2.795</v>
      </c>
      <c r="E384" s="20">
        <f>IFERROR(__xludf.DUMMYFUNCTION("""COMPUTED_VALUE"""),0.6984042857142857)</f>
        <v>0.6984042857</v>
      </c>
      <c r="F384" s="20">
        <f>IFERROR(__xludf.DUMMYFUNCTION("""COMPUTED_VALUE"""),0.7391651714285715)</f>
        <v>0.7391651714</v>
      </c>
      <c r="G384" s="20">
        <f>IFERROR(__xludf.DUMMYFUNCTION("""COMPUTED_VALUE"""),0.731)</f>
        <v>0.731</v>
      </c>
      <c r="H384" s="23"/>
      <c r="J384" s="22"/>
    </row>
    <row r="385">
      <c r="A385" s="19">
        <f>IFERROR(__xludf.DUMMYFUNCTION("""COMPUTED_VALUE"""),44945.0)</f>
        <v>44945</v>
      </c>
      <c r="B385" s="20">
        <f>IFERROR(__xludf.DUMMYFUNCTION("""COMPUTED_VALUE"""),2.4899999999999998)</f>
        <v>2.49</v>
      </c>
      <c r="C385" s="21">
        <f>IFERROR(__xludf.DUMMYFUNCTION("""COMPUTED_VALUE"""),1.63)</f>
        <v>1.63</v>
      </c>
      <c r="D385" s="21">
        <f>IFERROR(__xludf.DUMMYFUNCTION("""COMPUTED_VALUE"""),2.795)</f>
        <v>2.795</v>
      </c>
      <c r="E385" s="20">
        <f>IFERROR(__xludf.DUMMYFUNCTION("""COMPUTED_VALUE"""),0.6941242857142856)</f>
        <v>0.6941242857</v>
      </c>
      <c r="F385" s="20">
        <f>IFERROR(__xludf.DUMMYFUNCTION("""COMPUTED_VALUE"""),0.7294839642857143)</f>
        <v>0.7294839643</v>
      </c>
      <c r="G385" s="20">
        <f>IFERROR(__xludf.DUMMYFUNCTION("""COMPUTED_VALUE"""),0.731)</f>
        <v>0.731</v>
      </c>
      <c r="H385" s="23"/>
      <c r="J385" s="22"/>
    </row>
    <row r="386">
      <c r="A386" s="19">
        <f>IFERROR(__xludf.DUMMYFUNCTION("""COMPUTED_VALUE"""),44946.0)</f>
        <v>44946</v>
      </c>
      <c r="B386" s="20">
        <f>IFERROR(__xludf.DUMMYFUNCTION("""COMPUTED_VALUE"""),2.4899999999999998)</f>
        <v>2.49</v>
      </c>
      <c r="C386" s="21">
        <f>IFERROR(__xludf.DUMMYFUNCTION("""COMPUTED_VALUE"""),1.63)</f>
        <v>1.63</v>
      </c>
      <c r="D386" s="21">
        <f>IFERROR(__xludf.DUMMYFUNCTION("""COMPUTED_VALUE"""),2.795)</f>
        <v>2.795</v>
      </c>
      <c r="E386" s="20">
        <f>IFERROR(__xludf.DUMMYFUNCTION("""COMPUTED_VALUE"""),0.6854114285714286)</f>
        <v>0.6854114286</v>
      </c>
      <c r="F386" s="20">
        <f>IFERROR(__xludf.DUMMYFUNCTION("""COMPUTED_VALUE"""),0.7326675964285715)</f>
        <v>0.7326675964</v>
      </c>
      <c r="G386" s="20">
        <f>IFERROR(__xludf.DUMMYFUNCTION("""COMPUTED_VALUE"""),0.731)</f>
        <v>0.731</v>
      </c>
      <c r="H386" s="23"/>
      <c r="J386" s="22"/>
    </row>
    <row r="387">
      <c r="A387" s="19">
        <f>IFERROR(__xludf.DUMMYFUNCTION("""COMPUTED_VALUE"""),44947.0)</f>
        <v>44947</v>
      </c>
      <c r="B387" s="20">
        <f>IFERROR(__xludf.DUMMYFUNCTION("""COMPUTED_VALUE"""),2.4899999999999998)</f>
        <v>2.49</v>
      </c>
      <c r="C387" s="21">
        <f>IFERROR(__xludf.DUMMYFUNCTION("""COMPUTED_VALUE"""),1.63)</f>
        <v>1.63</v>
      </c>
      <c r="D387" s="21">
        <f>IFERROR(__xludf.DUMMYFUNCTION("""COMPUTED_VALUE"""),2.795)</f>
        <v>2.795</v>
      </c>
      <c r="E387" s="20">
        <f>IFERROR(__xludf.DUMMYFUNCTION("""COMPUTED_VALUE"""),0.6927485714285714)</f>
        <v>0.6927485714</v>
      </c>
      <c r="F387" s="20">
        <f>IFERROR(__xludf.DUMMYFUNCTION("""COMPUTED_VALUE"""),0.7358512285714286)</f>
        <v>0.7358512286</v>
      </c>
      <c r="G387" s="20">
        <f>IFERROR(__xludf.DUMMYFUNCTION("""COMPUTED_VALUE"""),0.731)</f>
        <v>0.731</v>
      </c>
      <c r="H387" s="23"/>
      <c r="J387" s="22"/>
    </row>
    <row r="388">
      <c r="A388" s="19">
        <f>IFERROR(__xludf.DUMMYFUNCTION("""COMPUTED_VALUE"""),44948.0)</f>
        <v>44948</v>
      </c>
      <c r="B388" s="20">
        <f>IFERROR(__xludf.DUMMYFUNCTION("""COMPUTED_VALUE"""),2.4899999999999998)</f>
        <v>2.49</v>
      </c>
      <c r="C388" s="21">
        <f>IFERROR(__xludf.DUMMYFUNCTION("""COMPUTED_VALUE"""),1.63)</f>
        <v>1.63</v>
      </c>
      <c r="D388" s="21">
        <f>IFERROR(__xludf.DUMMYFUNCTION("""COMPUTED_VALUE"""),2.795)</f>
        <v>2.795</v>
      </c>
      <c r="E388" s="20">
        <f>IFERROR(__xludf.DUMMYFUNCTION("""COMPUTED_VALUE"""),0.7000857142857143)</f>
        <v>0.7000857143</v>
      </c>
      <c r="F388" s="20">
        <f>IFERROR(__xludf.DUMMYFUNCTION("""COMPUTED_VALUE"""),0.7390348607142858)</f>
        <v>0.7390348607</v>
      </c>
      <c r="G388" s="20">
        <f>IFERROR(__xludf.DUMMYFUNCTION("""COMPUTED_VALUE"""),0.731)</f>
        <v>0.731</v>
      </c>
      <c r="H388" s="23"/>
      <c r="J388" s="22"/>
    </row>
    <row r="389">
      <c r="A389" s="19">
        <f>IFERROR(__xludf.DUMMYFUNCTION("""COMPUTED_VALUE"""),44949.0)</f>
        <v>44949</v>
      </c>
      <c r="B389" s="20">
        <f>IFERROR(__xludf.DUMMYFUNCTION("""COMPUTED_VALUE"""),2.27)</f>
        <v>2.27</v>
      </c>
      <c r="C389" s="21">
        <f>IFERROR(__xludf.DUMMYFUNCTION("""COMPUTED_VALUE"""),1.355)</f>
        <v>1.355</v>
      </c>
      <c r="D389" s="21">
        <f>IFERROR(__xludf.DUMMYFUNCTION("""COMPUTED_VALUE"""),2.52)</f>
        <v>2.52</v>
      </c>
      <c r="E389" s="20">
        <f>IFERROR(__xludf.DUMMYFUNCTION("""COMPUTED_VALUE"""),0.7074228571428571)</f>
        <v>0.7074228571</v>
      </c>
      <c r="F389" s="20">
        <f>IFERROR(__xludf.DUMMYFUNCTION("""COMPUTED_VALUE"""),0.7530377214285716)</f>
        <v>0.7530377214</v>
      </c>
      <c r="G389" s="20">
        <f>IFERROR(__xludf.DUMMYFUNCTION("""COMPUTED_VALUE"""),0.731)</f>
        <v>0.731</v>
      </c>
      <c r="H389" s="23"/>
      <c r="J389" s="22"/>
    </row>
    <row r="390">
      <c r="A390" s="19">
        <f>IFERROR(__xludf.DUMMYFUNCTION("""COMPUTED_VALUE"""),44950.0)</f>
        <v>44950</v>
      </c>
      <c r="B390" s="20">
        <f>IFERROR(__xludf.DUMMYFUNCTION("""COMPUTED_VALUE"""),2.27)</f>
        <v>2.27</v>
      </c>
      <c r="C390" s="21">
        <f>IFERROR(__xludf.DUMMYFUNCTION("""COMPUTED_VALUE"""),1.355)</f>
        <v>1.355</v>
      </c>
      <c r="D390" s="21">
        <f>IFERROR(__xludf.DUMMYFUNCTION("""COMPUTED_VALUE"""),2.52)</f>
        <v>2.52</v>
      </c>
      <c r="E390" s="20">
        <f>IFERROR(__xludf.DUMMYFUNCTION("""COMPUTED_VALUE"""),0.7328735714285715)</f>
        <v>0.7328735714</v>
      </c>
      <c r="F390" s="20">
        <f>IFERROR(__xludf.DUMMYFUNCTION("""COMPUTED_VALUE"""),0.7511464964285716)</f>
        <v>0.7511464964</v>
      </c>
      <c r="G390" s="20">
        <f>IFERROR(__xludf.DUMMYFUNCTION("""COMPUTED_VALUE"""),0.731)</f>
        <v>0.731</v>
      </c>
      <c r="H390" s="23"/>
      <c r="J390" s="22"/>
    </row>
    <row r="391">
      <c r="A391" s="19">
        <f>IFERROR(__xludf.DUMMYFUNCTION("""COMPUTED_VALUE"""),44951.0)</f>
        <v>44951</v>
      </c>
      <c r="B391" s="20">
        <f>IFERROR(__xludf.DUMMYFUNCTION("""COMPUTED_VALUE"""),2.27)</f>
        <v>2.27</v>
      </c>
      <c r="C391" s="21">
        <f>IFERROR(__xludf.DUMMYFUNCTION("""COMPUTED_VALUE"""),1.355)</f>
        <v>1.355</v>
      </c>
      <c r="D391" s="21">
        <f>IFERROR(__xludf.DUMMYFUNCTION("""COMPUTED_VALUE"""),2.52)</f>
        <v>2.52</v>
      </c>
      <c r="E391" s="20">
        <f>IFERROR(__xludf.DUMMYFUNCTION("""COMPUTED_VALUE"""),0.7394464285714287)</f>
        <v>0.7394464286</v>
      </c>
      <c r="F391" s="20">
        <f>IFERROR(__xludf.DUMMYFUNCTION("""COMPUTED_VALUE"""),0.744310342857143)</f>
        <v>0.7443103429</v>
      </c>
      <c r="G391" s="20">
        <f>IFERROR(__xludf.DUMMYFUNCTION("""COMPUTED_VALUE"""),0.731)</f>
        <v>0.731</v>
      </c>
      <c r="H391" s="23"/>
      <c r="J391" s="22"/>
    </row>
    <row r="392">
      <c r="A392" s="19">
        <f>IFERROR(__xludf.DUMMYFUNCTION("""COMPUTED_VALUE"""),44952.0)</f>
        <v>44952</v>
      </c>
      <c r="B392" s="20">
        <f>IFERROR(__xludf.DUMMYFUNCTION("""COMPUTED_VALUE"""),2.27)</f>
        <v>2.27</v>
      </c>
      <c r="C392" s="21">
        <f>IFERROR(__xludf.DUMMYFUNCTION("""COMPUTED_VALUE"""),1.355)</f>
        <v>1.355</v>
      </c>
      <c r="D392" s="21">
        <f>IFERROR(__xludf.DUMMYFUNCTION("""COMPUTED_VALUE"""),2.52)</f>
        <v>2.52</v>
      </c>
      <c r="E392" s="20">
        <f>IFERROR(__xludf.DUMMYFUNCTION("""COMPUTED_VALUE"""),0.732567857142857)</f>
        <v>0.7325678571</v>
      </c>
      <c r="F392" s="20">
        <f>IFERROR(__xludf.DUMMYFUNCTION("""COMPUTED_VALUE"""),0.7351026107142856)</f>
        <v>0.7351026107</v>
      </c>
      <c r="G392" s="20">
        <f>IFERROR(__xludf.DUMMYFUNCTION("""COMPUTED_VALUE"""),0.731)</f>
        <v>0.731</v>
      </c>
      <c r="H392" s="23"/>
      <c r="J392" s="22"/>
    </row>
    <row r="393">
      <c r="A393" s="19">
        <f>IFERROR(__xludf.DUMMYFUNCTION("""COMPUTED_VALUE"""),44953.0)</f>
        <v>44953</v>
      </c>
      <c r="B393" s="20">
        <f>IFERROR(__xludf.DUMMYFUNCTION("""COMPUTED_VALUE"""),2.27)</f>
        <v>2.27</v>
      </c>
      <c r="C393" s="21">
        <f>IFERROR(__xludf.DUMMYFUNCTION("""COMPUTED_VALUE"""),1.355)</f>
        <v>1.355</v>
      </c>
      <c r="D393" s="21">
        <f>IFERROR(__xludf.DUMMYFUNCTION("""COMPUTED_VALUE"""),2.52)</f>
        <v>2.52</v>
      </c>
      <c r="E393" s="20">
        <f>IFERROR(__xludf.DUMMYFUNCTION("""COMPUTED_VALUE"""),0.7305807142857142)</f>
        <v>0.7305807143</v>
      </c>
      <c r="F393" s="20">
        <f>IFERROR(__xludf.DUMMYFUNCTION("""COMPUTED_VALUE"""),0.7163714964285715)</f>
        <v>0.7163714964</v>
      </c>
      <c r="G393" s="20">
        <f>IFERROR(__xludf.DUMMYFUNCTION("""COMPUTED_VALUE"""),0.731)</f>
        <v>0.731</v>
      </c>
      <c r="H393" s="23"/>
      <c r="J393" s="22"/>
    </row>
    <row r="394">
      <c r="A394" s="19">
        <f>IFERROR(__xludf.DUMMYFUNCTION("""COMPUTED_VALUE"""),44954.0)</f>
        <v>44954</v>
      </c>
      <c r="B394" s="20">
        <f>IFERROR(__xludf.DUMMYFUNCTION("""COMPUTED_VALUE"""),2.27)</f>
        <v>2.27</v>
      </c>
      <c r="C394" s="21">
        <f>IFERROR(__xludf.DUMMYFUNCTION("""COMPUTED_VALUE"""),1.355)</f>
        <v>1.355</v>
      </c>
      <c r="D394" s="21">
        <f>IFERROR(__xludf.DUMMYFUNCTION("""COMPUTED_VALUE"""),2.52)</f>
        <v>2.52</v>
      </c>
      <c r="E394" s="20">
        <f>IFERROR(__xludf.DUMMYFUNCTION("""COMPUTED_VALUE"""),0.7166707142857144)</f>
        <v>0.7166707143</v>
      </c>
      <c r="F394" s="20">
        <f>IFERROR(__xludf.DUMMYFUNCTION("""COMPUTED_VALUE"""),0.6976403821428571)</f>
        <v>0.6976403821</v>
      </c>
      <c r="G394" s="20">
        <f>IFERROR(__xludf.DUMMYFUNCTION("""COMPUTED_VALUE"""),0.731)</f>
        <v>0.731</v>
      </c>
      <c r="H394" s="23"/>
      <c r="J394" s="22"/>
    </row>
    <row r="395">
      <c r="A395" s="19">
        <f>IFERROR(__xludf.DUMMYFUNCTION("""COMPUTED_VALUE"""),44955.0)</f>
        <v>44955</v>
      </c>
      <c r="B395" s="20">
        <f>IFERROR(__xludf.DUMMYFUNCTION("""COMPUTED_VALUE"""),2.27)</f>
        <v>2.27</v>
      </c>
      <c r="C395" s="21">
        <f>IFERROR(__xludf.DUMMYFUNCTION("""COMPUTED_VALUE"""),1.355)</f>
        <v>1.355</v>
      </c>
      <c r="D395" s="21">
        <f>IFERROR(__xludf.DUMMYFUNCTION("""COMPUTED_VALUE"""),2.52)</f>
        <v>2.52</v>
      </c>
      <c r="E395" s="20">
        <f>IFERROR(__xludf.DUMMYFUNCTION("""COMPUTED_VALUE"""),0.7027607142857143)</f>
        <v>0.7027607143</v>
      </c>
      <c r="F395" s="20">
        <f>IFERROR(__xludf.DUMMYFUNCTION("""COMPUTED_VALUE"""),0.6789092678571428)</f>
        <v>0.6789092679</v>
      </c>
      <c r="G395" s="20">
        <f>IFERROR(__xludf.DUMMYFUNCTION("""COMPUTED_VALUE"""),0.731)</f>
        <v>0.731</v>
      </c>
      <c r="H395" s="23"/>
      <c r="J395" s="22"/>
    </row>
    <row r="396">
      <c r="A396" s="19">
        <f>IFERROR(__xludf.DUMMYFUNCTION("""COMPUTED_VALUE"""),44956.0)</f>
        <v>44956</v>
      </c>
      <c r="B396" s="20">
        <f>IFERROR(__xludf.DUMMYFUNCTION("""COMPUTED_VALUE"""),1.7100000000000002)</f>
        <v>1.71</v>
      </c>
      <c r="C396" s="21">
        <f>IFERROR(__xludf.DUMMYFUNCTION("""COMPUTED_VALUE"""),1.355)</f>
        <v>1.355</v>
      </c>
      <c r="D396" s="21">
        <f>IFERROR(__xludf.DUMMYFUNCTION("""COMPUTED_VALUE"""),1.8200000000000003)</f>
        <v>1.82</v>
      </c>
      <c r="E396" s="20">
        <f>IFERROR(__xludf.DUMMYFUNCTION("""COMPUTED_VALUE"""),0.6845707142857143)</f>
        <v>0.6845707143</v>
      </c>
      <c r="F396" s="20">
        <f>IFERROR(__xludf.DUMMYFUNCTION("""COMPUTED_VALUE"""),0.6634141392857142)</f>
        <v>0.6634141393</v>
      </c>
      <c r="G396" s="20">
        <f>IFERROR(__xludf.DUMMYFUNCTION("""COMPUTED_VALUE"""),0.731)</f>
        <v>0.731</v>
      </c>
      <c r="H396" s="23"/>
      <c r="J396" s="22"/>
    </row>
    <row r="397">
      <c r="A397" s="19">
        <f>IFERROR(__xludf.DUMMYFUNCTION("""COMPUTED_VALUE"""),44957.0)</f>
        <v>44957</v>
      </c>
      <c r="B397" s="20">
        <f>IFERROR(__xludf.DUMMYFUNCTION("""COMPUTED_VALUE"""),1.7100000000000002)</f>
        <v>1.71</v>
      </c>
      <c r="C397" s="21">
        <f>IFERROR(__xludf.DUMMYFUNCTION("""COMPUTED_VALUE"""),1.355)</f>
        <v>1.355</v>
      </c>
      <c r="D397" s="21">
        <f>IFERROR(__xludf.DUMMYFUNCTION("""COMPUTED_VALUE"""),1.8200000000000003)</f>
        <v>1.82</v>
      </c>
      <c r="E397" s="20">
        <f>IFERROR(__xludf.DUMMYFUNCTION("""COMPUTED_VALUE"""),0.66233)</f>
        <v>0.66233</v>
      </c>
      <c r="F397" s="20">
        <f>IFERROR(__xludf.DUMMYFUNCTION("""COMPUTED_VALUE"""),0.6624553428571429)</f>
        <v>0.6624553429</v>
      </c>
      <c r="G397" s="20">
        <f>IFERROR(__xludf.DUMMYFUNCTION("""COMPUTED_VALUE"""),0.731)</f>
        <v>0.731</v>
      </c>
      <c r="H397" s="23"/>
      <c r="J397" s="22"/>
    </row>
    <row r="398">
      <c r="A398" s="19">
        <f>IFERROR(__xludf.DUMMYFUNCTION("""COMPUTED_VALUE"""),44958.0)</f>
        <v>44958</v>
      </c>
      <c r="B398" s="20">
        <f>IFERROR(__xludf.DUMMYFUNCTION("""COMPUTED_VALUE"""),1.7100000000000002)</f>
        <v>1.71</v>
      </c>
      <c r="C398" s="21">
        <f>IFERROR(__xludf.DUMMYFUNCTION("""COMPUTED_VALUE"""),1.355)</f>
        <v>1.355</v>
      </c>
      <c r="D398" s="21">
        <f>IFERROR(__xludf.DUMMYFUNCTION("""COMPUTED_VALUE"""),1.8200000000000003)</f>
        <v>1.82</v>
      </c>
      <c r="E398" s="20">
        <f>IFERROR(__xludf.DUMMYFUNCTION("""COMPUTED_VALUE"""),0.6527000000000001)</f>
        <v>0.6527</v>
      </c>
      <c r="F398" s="20">
        <f>IFERROR(__xludf.DUMMYFUNCTION("""COMPUTED_VALUE"""),0.6666868107142856)</f>
        <v>0.6666868107</v>
      </c>
      <c r="G398" s="20">
        <f>IFERROR(__xludf.DUMMYFUNCTION("""COMPUTED_VALUE"""),0.608)</f>
        <v>0.608</v>
      </c>
      <c r="H398" s="23"/>
      <c r="J398" s="22"/>
    </row>
    <row r="399">
      <c r="A399" s="19">
        <f>IFERROR(__xludf.DUMMYFUNCTION("""COMPUTED_VALUE"""),44959.0)</f>
        <v>44959</v>
      </c>
      <c r="B399" s="20">
        <f>IFERROR(__xludf.DUMMYFUNCTION("""COMPUTED_VALUE"""),1.7100000000000002)</f>
        <v>1.71</v>
      </c>
      <c r="C399" s="21">
        <f>IFERROR(__xludf.DUMMYFUNCTION("""COMPUTED_VALUE"""),1.355)</f>
        <v>1.355</v>
      </c>
      <c r="D399" s="21">
        <f>IFERROR(__xludf.DUMMYFUNCTION("""COMPUTED_VALUE"""),1.8200000000000003)</f>
        <v>1.82</v>
      </c>
      <c r="E399" s="20">
        <f>IFERROR(__xludf.DUMMYFUNCTION("""COMPUTED_VALUE"""),0.6552985714285714)</f>
        <v>0.6552985714</v>
      </c>
      <c r="F399" s="20">
        <f>IFERROR(__xludf.DUMMYFUNCTION("""COMPUTED_VALUE"""),0.6709186607142856)</f>
        <v>0.6709186607</v>
      </c>
      <c r="G399" s="20">
        <f>IFERROR(__xludf.DUMMYFUNCTION("""COMPUTED_VALUE"""),0.608)</f>
        <v>0.608</v>
      </c>
      <c r="H399" s="23"/>
      <c r="J399" s="22"/>
    </row>
    <row r="400">
      <c r="A400" s="19">
        <f>IFERROR(__xludf.DUMMYFUNCTION("""COMPUTED_VALUE"""),44960.0)</f>
        <v>44960</v>
      </c>
      <c r="B400" s="20">
        <f>IFERROR(__xludf.DUMMYFUNCTION("""COMPUTED_VALUE"""),1.7100000000000002)</f>
        <v>1.71</v>
      </c>
      <c r="C400" s="21">
        <f>IFERROR(__xludf.DUMMYFUNCTION("""COMPUTED_VALUE"""),1.355)</f>
        <v>1.355</v>
      </c>
      <c r="D400" s="21">
        <f>IFERROR(__xludf.DUMMYFUNCTION("""COMPUTED_VALUE"""),1.8200000000000003)</f>
        <v>1.82</v>
      </c>
      <c r="E400" s="20">
        <f>IFERROR(__xludf.DUMMYFUNCTION("""COMPUTED_VALUE"""),0.6491842857142858)</f>
        <v>0.6491842857</v>
      </c>
      <c r="F400" s="20">
        <f>IFERROR(__xludf.DUMMYFUNCTION("""COMPUTED_VALUE"""),0.6775159749999998)</f>
        <v>0.677515975</v>
      </c>
      <c r="G400" s="20">
        <f>IFERROR(__xludf.DUMMYFUNCTION("""COMPUTED_VALUE"""),0.608)</f>
        <v>0.608</v>
      </c>
      <c r="H400" s="23"/>
      <c r="J400" s="22"/>
    </row>
    <row r="401">
      <c r="A401" s="19">
        <f>IFERROR(__xludf.DUMMYFUNCTION("""COMPUTED_VALUE"""),44961.0)</f>
        <v>44961</v>
      </c>
      <c r="B401" s="20">
        <f>IFERROR(__xludf.DUMMYFUNCTION("""COMPUTED_VALUE"""),1.7100000000000002)</f>
        <v>1.71</v>
      </c>
      <c r="C401" s="21">
        <f>IFERROR(__xludf.DUMMYFUNCTION("""COMPUTED_VALUE"""),1.355)</f>
        <v>1.355</v>
      </c>
      <c r="D401" s="21">
        <f>IFERROR(__xludf.DUMMYFUNCTION("""COMPUTED_VALUE"""),1.8200000000000003)</f>
        <v>1.82</v>
      </c>
      <c r="E401" s="20">
        <f>IFERROR(__xludf.DUMMYFUNCTION("""COMPUTED_VALUE"""),0.6478085714285714)</f>
        <v>0.6478085714</v>
      </c>
      <c r="F401" s="20">
        <f>IFERROR(__xludf.DUMMYFUNCTION("""COMPUTED_VALUE"""),0.6841132892857142)</f>
        <v>0.6841132893</v>
      </c>
      <c r="G401" s="20">
        <f>IFERROR(__xludf.DUMMYFUNCTION("""COMPUTED_VALUE"""),0.608)</f>
        <v>0.608</v>
      </c>
      <c r="H401" s="23"/>
      <c r="J401" s="22"/>
    </row>
    <row r="402">
      <c r="A402" s="19">
        <f>IFERROR(__xludf.DUMMYFUNCTION("""COMPUTED_VALUE"""),44962.0)</f>
        <v>44962</v>
      </c>
      <c r="B402" s="20">
        <f>IFERROR(__xludf.DUMMYFUNCTION("""COMPUTED_VALUE"""),1.7100000000000002)</f>
        <v>1.71</v>
      </c>
      <c r="C402" s="21">
        <f>IFERROR(__xludf.DUMMYFUNCTION("""COMPUTED_VALUE"""),1.355)</f>
        <v>1.355</v>
      </c>
      <c r="D402" s="21">
        <f>IFERROR(__xludf.DUMMYFUNCTION("""COMPUTED_VALUE"""),1.8200000000000003)</f>
        <v>1.82</v>
      </c>
      <c r="E402" s="20">
        <f>IFERROR(__xludf.DUMMYFUNCTION("""COMPUTED_VALUE"""),0.6464328571428571)</f>
        <v>0.6464328571</v>
      </c>
      <c r="F402" s="20">
        <f>IFERROR(__xludf.DUMMYFUNCTION("""COMPUTED_VALUE"""),0.6907106035714283)</f>
        <v>0.6907106036</v>
      </c>
      <c r="G402" s="20">
        <f>IFERROR(__xludf.DUMMYFUNCTION("""COMPUTED_VALUE"""),0.608)</f>
        <v>0.608</v>
      </c>
      <c r="H402" s="23"/>
      <c r="J402" s="22"/>
    </row>
    <row r="403">
      <c r="A403" s="19">
        <f>IFERROR(__xludf.DUMMYFUNCTION("""COMPUTED_VALUE"""),44963.0)</f>
        <v>44963</v>
      </c>
      <c r="B403" s="20">
        <f>IFERROR(__xludf.DUMMYFUNCTION("""COMPUTED_VALUE"""),1.7100000000000002)</f>
        <v>1.71</v>
      </c>
      <c r="C403" s="21">
        <f>IFERROR(__xludf.DUMMYFUNCTION("""COMPUTED_VALUE"""),1.355)</f>
        <v>1.355</v>
      </c>
      <c r="D403" s="21">
        <f>IFERROR(__xludf.DUMMYFUNCTION("""COMPUTED_VALUE"""),1.8200000000000003)</f>
        <v>1.82</v>
      </c>
      <c r="E403" s="20">
        <f>IFERROR(__xludf.DUMMYFUNCTION("""COMPUTED_VALUE"""),0.6501014285714286)</f>
        <v>0.6501014286</v>
      </c>
      <c r="F403" s="20">
        <f>IFERROR(__xludf.DUMMYFUNCTION("""COMPUTED_VALUE"""),0.6933584714285713)</f>
        <v>0.6933584714</v>
      </c>
      <c r="G403" s="20">
        <f>IFERROR(__xludf.DUMMYFUNCTION("""COMPUTED_VALUE"""),0.608)</f>
        <v>0.608</v>
      </c>
      <c r="H403" s="23"/>
      <c r="J403" s="22"/>
    </row>
    <row r="404">
      <c r="A404" s="19">
        <f>IFERROR(__xludf.DUMMYFUNCTION("""COMPUTED_VALUE"""),44964.0)</f>
        <v>44964</v>
      </c>
      <c r="B404" s="20">
        <f>IFERROR(__xludf.DUMMYFUNCTION("""COMPUTED_VALUE"""),1.7100000000000002)</f>
        <v>1.71</v>
      </c>
      <c r="C404" s="21">
        <f>IFERROR(__xludf.DUMMYFUNCTION("""COMPUTED_VALUE"""),1.355)</f>
        <v>1.355</v>
      </c>
      <c r="D404" s="21">
        <f>IFERROR(__xludf.DUMMYFUNCTION("""COMPUTED_VALUE"""),1.8200000000000003)</f>
        <v>1.82</v>
      </c>
      <c r="E404" s="20">
        <f>IFERROR(__xludf.DUMMYFUNCTION("""COMPUTED_VALUE"""),0.65484)</f>
        <v>0.65484</v>
      </c>
      <c r="F404" s="20">
        <f>IFERROR(__xludf.DUMMYFUNCTION("""COMPUTED_VALUE"""),0.6903582678571426)</f>
        <v>0.6903582679</v>
      </c>
      <c r="G404" s="20">
        <f>IFERROR(__xludf.DUMMYFUNCTION("""COMPUTED_VALUE"""),0.608)</f>
        <v>0.608</v>
      </c>
      <c r="H404" s="23"/>
      <c r="J404" s="22"/>
    </row>
    <row r="405">
      <c r="A405" s="19">
        <f>IFERROR(__xludf.DUMMYFUNCTION("""COMPUTED_VALUE"""),44965.0)</f>
        <v>44965</v>
      </c>
      <c r="B405" s="20">
        <f>IFERROR(__xludf.DUMMYFUNCTION("""COMPUTED_VALUE"""),1.7100000000000002)</f>
        <v>1.71</v>
      </c>
      <c r="C405" s="21">
        <f>IFERROR(__xludf.DUMMYFUNCTION("""COMPUTED_VALUE"""),1.355)</f>
        <v>1.355</v>
      </c>
      <c r="D405" s="21">
        <f>IFERROR(__xludf.DUMMYFUNCTION("""COMPUTED_VALUE"""),1.8200000000000003)</f>
        <v>1.82</v>
      </c>
      <c r="E405" s="20">
        <f>IFERROR(__xludf.DUMMYFUNCTION("""COMPUTED_VALUE"""),0.6556042857142856)</f>
        <v>0.6556042857</v>
      </c>
      <c r="F405" s="20">
        <f>IFERROR(__xludf.DUMMYFUNCTION("""COMPUTED_VALUE"""),0.6822132749999998)</f>
        <v>0.682213275</v>
      </c>
      <c r="G405" s="20">
        <f>IFERROR(__xludf.DUMMYFUNCTION("""COMPUTED_VALUE"""),0.608)</f>
        <v>0.608</v>
      </c>
      <c r="H405" s="23"/>
      <c r="J405" s="22"/>
    </row>
    <row r="406">
      <c r="A406" s="19">
        <f>IFERROR(__xludf.DUMMYFUNCTION("""COMPUTED_VALUE"""),44966.0)</f>
        <v>44966</v>
      </c>
      <c r="B406" s="20">
        <f>IFERROR(__xludf.DUMMYFUNCTION("""COMPUTED_VALUE"""),1.7100000000000002)</f>
        <v>1.71</v>
      </c>
      <c r="C406" s="21">
        <f>IFERROR(__xludf.DUMMYFUNCTION("""COMPUTED_VALUE"""),1.355)</f>
        <v>1.355</v>
      </c>
      <c r="D406" s="21">
        <f>IFERROR(__xludf.DUMMYFUNCTION("""COMPUTED_VALUE"""),1.8200000000000003)</f>
        <v>1.82</v>
      </c>
      <c r="E406" s="20">
        <f>IFERROR(__xludf.DUMMYFUNCTION("""COMPUTED_VALUE"""),0.6467385714285714)</f>
        <v>0.6467385714</v>
      </c>
      <c r="F406" s="20">
        <f>IFERROR(__xludf.DUMMYFUNCTION("""COMPUTED_VALUE"""),0.6752552178571428)</f>
        <v>0.6752552179</v>
      </c>
      <c r="G406" s="20">
        <f>IFERROR(__xludf.DUMMYFUNCTION("""COMPUTED_VALUE"""),0.608)</f>
        <v>0.608</v>
      </c>
      <c r="H406" s="23"/>
      <c r="J406" s="22"/>
    </row>
    <row r="407">
      <c r="A407" s="19">
        <f>IFERROR(__xludf.DUMMYFUNCTION("""COMPUTED_VALUE"""),44967.0)</f>
        <v>44967</v>
      </c>
      <c r="B407" s="20">
        <f>IFERROR(__xludf.DUMMYFUNCTION("""COMPUTED_VALUE"""),1.7100000000000002)</f>
        <v>1.71</v>
      </c>
      <c r="C407" s="21">
        <f>IFERROR(__xludf.DUMMYFUNCTION("""COMPUTED_VALUE"""),1.355)</f>
        <v>1.355</v>
      </c>
      <c r="D407" s="21">
        <f>IFERROR(__xludf.DUMMYFUNCTION("""COMPUTED_VALUE"""),1.8200000000000003)</f>
        <v>1.82</v>
      </c>
      <c r="E407" s="20">
        <f>IFERROR(__xludf.DUMMYFUNCTION("""COMPUTED_VALUE"""),0.645362857142857)</f>
        <v>0.6453628571</v>
      </c>
      <c r="F407" s="20">
        <f>IFERROR(__xludf.DUMMYFUNCTION("""COMPUTED_VALUE"""),0.6674575928571427)</f>
        <v>0.6674575929</v>
      </c>
      <c r="G407" s="20">
        <f>IFERROR(__xludf.DUMMYFUNCTION("""COMPUTED_VALUE"""),0.608)</f>
        <v>0.608</v>
      </c>
      <c r="H407" s="23"/>
      <c r="J407" s="22"/>
    </row>
    <row r="408">
      <c r="A408" s="19">
        <f>IFERROR(__xludf.DUMMYFUNCTION("""COMPUTED_VALUE"""),44968.0)</f>
        <v>44968</v>
      </c>
      <c r="B408" s="20">
        <f>IFERROR(__xludf.DUMMYFUNCTION("""COMPUTED_VALUE"""),1.7100000000000002)</f>
        <v>1.71</v>
      </c>
      <c r="C408" s="21">
        <f>IFERROR(__xludf.DUMMYFUNCTION("""COMPUTED_VALUE"""),1.355)</f>
        <v>1.355</v>
      </c>
      <c r="D408" s="21">
        <f>IFERROR(__xludf.DUMMYFUNCTION("""COMPUTED_VALUE"""),1.8200000000000003)</f>
        <v>1.82</v>
      </c>
      <c r="E408" s="20">
        <f>IFERROR(__xludf.DUMMYFUNCTION("""COMPUTED_VALUE"""),0.64093)</f>
        <v>0.64093</v>
      </c>
      <c r="F408" s="20">
        <f>IFERROR(__xludf.DUMMYFUNCTION("""COMPUTED_VALUE"""),0.6596599678571428)</f>
        <v>0.6596599679</v>
      </c>
      <c r="G408" s="20">
        <f>IFERROR(__xludf.DUMMYFUNCTION("""COMPUTED_VALUE"""),0.608)</f>
        <v>0.608</v>
      </c>
      <c r="H408" s="23"/>
      <c r="J408" s="22"/>
    </row>
    <row r="409">
      <c r="A409" s="19">
        <f>IFERROR(__xludf.DUMMYFUNCTION("""COMPUTED_VALUE"""),44969.0)</f>
        <v>44969</v>
      </c>
      <c r="B409" s="20">
        <f>IFERROR(__xludf.DUMMYFUNCTION("""COMPUTED_VALUE"""),1.7100000000000002)</f>
        <v>1.71</v>
      </c>
      <c r="C409" s="21">
        <f>IFERROR(__xludf.DUMMYFUNCTION("""COMPUTED_VALUE"""),1.355)</f>
        <v>1.355</v>
      </c>
      <c r="D409" s="21">
        <f>IFERROR(__xludf.DUMMYFUNCTION("""COMPUTED_VALUE"""),1.8200000000000003)</f>
        <v>1.82</v>
      </c>
      <c r="E409" s="20">
        <f>IFERROR(__xludf.DUMMYFUNCTION("""COMPUTED_VALUE"""),0.6364971428571428)</f>
        <v>0.6364971429</v>
      </c>
      <c r="F409" s="20">
        <f>IFERROR(__xludf.DUMMYFUNCTION("""COMPUTED_VALUE"""),0.6518623428571428)</f>
        <v>0.6518623429</v>
      </c>
      <c r="G409" s="20">
        <f>IFERROR(__xludf.DUMMYFUNCTION("""COMPUTED_VALUE"""),0.608)</f>
        <v>0.608</v>
      </c>
      <c r="H409" s="23"/>
      <c r="J409" s="22"/>
    </row>
    <row r="410">
      <c r="A410" s="19">
        <f>IFERROR(__xludf.DUMMYFUNCTION("""COMPUTED_VALUE"""),44970.0)</f>
        <v>44970</v>
      </c>
      <c r="B410" s="20">
        <f>IFERROR(__xludf.DUMMYFUNCTION("""COMPUTED_VALUE"""),1.4176333333333335)</f>
        <v>1.417633333</v>
      </c>
      <c r="C410" s="21">
        <f>IFERROR(__xludf.DUMMYFUNCTION("""COMPUTED_VALUE"""),0.9727)</f>
        <v>0.9727</v>
      </c>
      <c r="D410" s="21">
        <f>IFERROR(__xludf.DUMMYFUNCTION("""COMPUTED_VALUE"""),1.735)</f>
        <v>1.735</v>
      </c>
      <c r="E410" s="20">
        <f>IFERROR(__xludf.DUMMYFUNCTION("""COMPUTED_VALUE"""),0.6274785714285713)</f>
        <v>0.6274785714</v>
      </c>
      <c r="F410" s="20">
        <f>IFERROR(__xludf.DUMMYFUNCTION("""COMPUTED_VALUE"""),0.6420905678571429)</f>
        <v>0.6420905679</v>
      </c>
      <c r="G410" s="20">
        <f>IFERROR(__xludf.DUMMYFUNCTION("""COMPUTED_VALUE"""),0.608)</f>
        <v>0.608</v>
      </c>
      <c r="H410" s="23"/>
      <c r="J410" s="22"/>
    </row>
    <row r="411">
      <c r="A411" s="19">
        <f>IFERROR(__xludf.DUMMYFUNCTION("""COMPUTED_VALUE"""),44971.0)</f>
        <v>44971</v>
      </c>
      <c r="B411" s="20">
        <f>IFERROR(__xludf.DUMMYFUNCTION("""COMPUTED_VALUE"""),1.4176333333333335)</f>
        <v>1.417633333</v>
      </c>
      <c r="C411" s="21">
        <f>IFERROR(__xludf.DUMMYFUNCTION("""COMPUTED_VALUE"""),0.9727)</f>
        <v>0.9727</v>
      </c>
      <c r="D411" s="21">
        <f>IFERROR(__xludf.DUMMYFUNCTION("""COMPUTED_VALUE"""),1.735)</f>
        <v>1.735</v>
      </c>
      <c r="E411" s="20">
        <f>IFERROR(__xludf.DUMMYFUNCTION("""COMPUTED_VALUE"""),0.6166257142857142)</f>
        <v>0.6166257143</v>
      </c>
      <c r="F411" s="20">
        <f>IFERROR(__xludf.DUMMYFUNCTION("""COMPUTED_VALUE"""),0.6349490821428571)</f>
        <v>0.6349490821</v>
      </c>
      <c r="G411" s="20">
        <f>IFERROR(__xludf.DUMMYFUNCTION("""COMPUTED_VALUE"""),0.608)</f>
        <v>0.608</v>
      </c>
      <c r="H411" s="23"/>
      <c r="J411" s="22"/>
    </row>
    <row r="412">
      <c r="A412" s="19">
        <f>IFERROR(__xludf.DUMMYFUNCTION("""COMPUTED_VALUE"""),44972.0)</f>
        <v>44972</v>
      </c>
      <c r="B412" s="20">
        <f>IFERROR(__xludf.DUMMYFUNCTION("""COMPUTED_VALUE"""),1.4176333333333335)</f>
        <v>1.417633333</v>
      </c>
      <c r="C412" s="21">
        <f>IFERROR(__xludf.DUMMYFUNCTION("""COMPUTED_VALUE"""),0.9727)</f>
        <v>0.9727</v>
      </c>
      <c r="D412" s="21">
        <f>IFERROR(__xludf.DUMMYFUNCTION("""COMPUTED_VALUE"""),1.735)</f>
        <v>1.735</v>
      </c>
      <c r="E412" s="20">
        <f>IFERROR(__xludf.DUMMYFUNCTION("""COMPUTED_VALUE"""),0.6091357142857142)</f>
        <v>0.6091357143</v>
      </c>
      <c r="F412" s="20">
        <f>IFERROR(__xludf.DUMMYFUNCTION("""COMPUTED_VALUE"""),0.6327949428571429)</f>
        <v>0.6327949429</v>
      </c>
      <c r="G412" s="20">
        <f>IFERROR(__xludf.DUMMYFUNCTION("""COMPUTED_VALUE"""),0.608)</f>
        <v>0.608</v>
      </c>
      <c r="H412" s="23"/>
      <c r="J412" s="22"/>
    </row>
    <row r="413">
      <c r="A413" s="19">
        <f>IFERROR(__xludf.DUMMYFUNCTION("""COMPUTED_VALUE"""),44973.0)</f>
        <v>44973</v>
      </c>
      <c r="B413" s="20">
        <f>IFERROR(__xludf.DUMMYFUNCTION("""COMPUTED_VALUE"""),1.4176333333333335)</f>
        <v>1.417633333</v>
      </c>
      <c r="C413" s="21">
        <f>IFERROR(__xludf.DUMMYFUNCTION("""COMPUTED_VALUE"""),0.9727)</f>
        <v>0.9727</v>
      </c>
      <c r="D413" s="21">
        <f>IFERROR(__xludf.DUMMYFUNCTION("""COMPUTED_VALUE"""),1.735)</f>
        <v>1.735</v>
      </c>
      <c r="E413" s="20">
        <f>IFERROR(__xludf.DUMMYFUNCTION("""COMPUTED_VALUE"""),0.6086771428571429)</f>
        <v>0.6086771429</v>
      </c>
      <c r="F413" s="20">
        <f>IFERROR(__xludf.DUMMYFUNCTION("""COMPUTED_VALUE"""),0.6294519571428571)</f>
        <v>0.6294519571</v>
      </c>
      <c r="G413" s="20">
        <f>IFERROR(__xludf.DUMMYFUNCTION("""COMPUTED_VALUE"""),0.608)</f>
        <v>0.608</v>
      </c>
      <c r="H413" s="23"/>
      <c r="J413" s="22"/>
    </row>
    <row r="414">
      <c r="A414" s="19">
        <f>IFERROR(__xludf.DUMMYFUNCTION("""COMPUTED_VALUE"""),44974.0)</f>
        <v>44974</v>
      </c>
      <c r="B414" s="20">
        <f>IFERROR(__xludf.DUMMYFUNCTION("""COMPUTED_VALUE"""),1.4176333333333335)</f>
        <v>1.417633333</v>
      </c>
      <c r="C414" s="21">
        <f>IFERROR(__xludf.DUMMYFUNCTION("""COMPUTED_VALUE"""),0.9727)</f>
        <v>0.9727</v>
      </c>
      <c r="D414" s="21">
        <f>IFERROR(__xludf.DUMMYFUNCTION("""COMPUTED_VALUE"""),1.735)</f>
        <v>1.735</v>
      </c>
      <c r="E414" s="20">
        <f>IFERROR(__xludf.DUMMYFUNCTION("""COMPUTED_VALUE"""),0.6062314285714285)</f>
        <v>0.6062314286</v>
      </c>
      <c r="F414" s="20">
        <f>IFERROR(__xludf.DUMMYFUNCTION("""COMPUTED_VALUE"""),0.6223597678571429)</f>
        <v>0.6223597679</v>
      </c>
      <c r="G414" s="20">
        <f>IFERROR(__xludf.DUMMYFUNCTION("""COMPUTED_VALUE"""),0.608)</f>
        <v>0.608</v>
      </c>
      <c r="H414" s="23"/>
      <c r="J414" s="22"/>
    </row>
    <row r="415">
      <c r="A415" s="19">
        <f>IFERROR(__xludf.DUMMYFUNCTION("""COMPUTED_VALUE"""),44975.0)</f>
        <v>44975</v>
      </c>
      <c r="B415" s="20">
        <f>IFERROR(__xludf.DUMMYFUNCTION("""COMPUTED_VALUE"""),1.4176333333333335)</f>
        <v>1.417633333</v>
      </c>
      <c r="C415" s="21">
        <f>IFERROR(__xludf.DUMMYFUNCTION("""COMPUTED_VALUE"""),0.9727)</f>
        <v>0.9727</v>
      </c>
      <c r="D415" s="21">
        <f>IFERROR(__xludf.DUMMYFUNCTION("""COMPUTED_VALUE"""),1.735)</f>
        <v>1.735</v>
      </c>
      <c r="E415" s="20">
        <f>IFERROR(__xludf.DUMMYFUNCTION("""COMPUTED_VALUE"""),0.5972128571428571)</f>
        <v>0.5972128571</v>
      </c>
      <c r="F415" s="20">
        <f>IFERROR(__xludf.DUMMYFUNCTION("""COMPUTED_VALUE"""),0.6152675785714286)</f>
        <v>0.6152675786</v>
      </c>
      <c r="G415" s="20">
        <f>IFERROR(__xludf.DUMMYFUNCTION("""COMPUTED_VALUE"""),0.608)</f>
        <v>0.608</v>
      </c>
      <c r="H415" s="23"/>
      <c r="J415" s="22"/>
    </row>
    <row r="416">
      <c r="A416" s="19">
        <f>IFERROR(__xludf.DUMMYFUNCTION("""COMPUTED_VALUE"""),44976.0)</f>
        <v>44976</v>
      </c>
      <c r="B416" s="20">
        <f>IFERROR(__xludf.DUMMYFUNCTION("""COMPUTED_VALUE"""),1.4176333333333335)</f>
        <v>1.417633333</v>
      </c>
      <c r="C416" s="21">
        <f>IFERROR(__xludf.DUMMYFUNCTION("""COMPUTED_VALUE"""),0.9727)</f>
        <v>0.9727</v>
      </c>
      <c r="D416" s="21">
        <f>IFERROR(__xludf.DUMMYFUNCTION("""COMPUTED_VALUE"""),1.735)</f>
        <v>1.735</v>
      </c>
      <c r="E416" s="20">
        <f>IFERROR(__xludf.DUMMYFUNCTION("""COMPUTED_VALUE"""),0.5881942857142857)</f>
        <v>0.5881942857</v>
      </c>
      <c r="F416" s="20">
        <f>IFERROR(__xludf.DUMMYFUNCTION("""COMPUTED_VALUE"""),0.6081753892857142)</f>
        <v>0.6081753893</v>
      </c>
      <c r="G416" s="20">
        <f>IFERROR(__xludf.DUMMYFUNCTION("""COMPUTED_VALUE"""),0.608)</f>
        <v>0.608</v>
      </c>
      <c r="H416" s="23"/>
      <c r="J416" s="22"/>
    </row>
    <row r="417">
      <c r="A417" s="19">
        <f>IFERROR(__xludf.DUMMYFUNCTION("""COMPUTED_VALUE"""),44977.0)</f>
        <v>44977</v>
      </c>
      <c r="B417" s="20">
        <f>IFERROR(__xludf.DUMMYFUNCTION("""COMPUTED_VALUE"""),1.3626333333333334)</f>
        <v>1.362633333</v>
      </c>
      <c r="C417" s="21">
        <f>IFERROR(__xludf.DUMMYFUNCTION("""COMPUTED_VALUE"""),0.9152)</f>
        <v>0.9152</v>
      </c>
      <c r="D417" s="21">
        <f>IFERROR(__xludf.DUMMYFUNCTION("""COMPUTED_VALUE"""),1.6275)</f>
        <v>1.6275</v>
      </c>
      <c r="E417" s="20">
        <f>IFERROR(__xludf.DUMMYFUNCTION("""COMPUTED_VALUE"""),0.5823857142857143)</f>
        <v>0.5823857143</v>
      </c>
      <c r="F417" s="20">
        <f>IFERROR(__xludf.DUMMYFUNCTION("""COMPUTED_VALUE"""),0.6033871392857142)</f>
        <v>0.6033871393</v>
      </c>
      <c r="G417" s="20">
        <f>IFERROR(__xludf.DUMMYFUNCTION("""COMPUTED_VALUE"""),0.608)</f>
        <v>0.608</v>
      </c>
      <c r="H417" s="23"/>
      <c r="J417" s="22"/>
    </row>
    <row r="418">
      <c r="A418" s="19">
        <f>IFERROR(__xludf.DUMMYFUNCTION("""COMPUTED_VALUE"""),44978.0)</f>
        <v>44978</v>
      </c>
      <c r="B418" s="20">
        <f>IFERROR(__xludf.DUMMYFUNCTION("""COMPUTED_VALUE"""),1.3626333333333334)</f>
        <v>1.362633333</v>
      </c>
      <c r="C418" s="21">
        <f>IFERROR(__xludf.DUMMYFUNCTION("""COMPUTED_VALUE"""),0.9152)</f>
        <v>0.9152</v>
      </c>
      <c r="D418" s="21">
        <f>IFERROR(__xludf.DUMMYFUNCTION("""COMPUTED_VALUE"""),1.6275)</f>
        <v>1.6275</v>
      </c>
      <c r="E418" s="20">
        <f>IFERROR(__xludf.DUMMYFUNCTION("""COMPUTED_VALUE"""),0.5785642857142858)</f>
        <v>0.5785642857</v>
      </c>
      <c r="F418" s="20">
        <f>IFERROR(__xludf.DUMMYFUNCTION("""COMPUTED_VALUE"""),0.5969652285714284)</f>
        <v>0.5969652286</v>
      </c>
      <c r="G418" s="20">
        <f>IFERROR(__xludf.DUMMYFUNCTION("""COMPUTED_VALUE"""),0.608)</f>
        <v>0.608</v>
      </c>
      <c r="H418" s="23"/>
      <c r="J418" s="22"/>
    </row>
    <row r="419">
      <c r="A419" s="19">
        <f>IFERROR(__xludf.DUMMYFUNCTION("""COMPUTED_VALUE"""),44979.0)</f>
        <v>44979</v>
      </c>
      <c r="B419" s="20">
        <f>IFERROR(__xludf.DUMMYFUNCTION("""COMPUTED_VALUE"""),1.3626333333333334)</f>
        <v>1.362633333</v>
      </c>
      <c r="C419" s="21">
        <f>IFERROR(__xludf.DUMMYFUNCTION("""COMPUTED_VALUE"""),0.9152)</f>
        <v>0.9152</v>
      </c>
      <c r="D419" s="21">
        <f>IFERROR(__xludf.DUMMYFUNCTION("""COMPUTED_VALUE"""),1.6275)</f>
        <v>1.6275</v>
      </c>
      <c r="E419" s="20">
        <f>IFERROR(__xludf.DUMMYFUNCTION("""COMPUTED_VALUE"""),0.5716857142857144)</f>
        <v>0.5716857143</v>
      </c>
      <c r="F419" s="20">
        <f>IFERROR(__xludf.DUMMYFUNCTION("""COMPUTED_VALUE"""),0.5896739428571428)</f>
        <v>0.5896739429</v>
      </c>
      <c r="G419" s="20">
        <f>IFERROR(__xludf.DUMMYFUNCTION("""COMPUTED_VALUE"""),0.608)</f>
        <v>0.608</v>
      </c>
      <c r="H419" s="23"/>
      <c r="J419" s="22"/>
    </row>
    <row r="420">
      <c r="A420" s="19">
        <f>IFERROR(__xludf.DUMMYFUNCTION("""COMPUTED_VALUE"""),44980.0)</f>
        <v>44980</v>
      </c>
      <c r="B420" s="20">
        <f>IFERROR(__xludf.DUMMYFUNCTION("""COMPUTED_VALUE"""),1.3626333333333334)</f>
        <v>1.362633333</v>
      </c>
      <c r="C420" s="21">
        <f>IFERROR(__xludf.DUMMYFUNCTION("""COMPUTED_VALUE"""),0.9152)</f>
        <v>0.9152</v>
      </c>
      <c r="D420" s="21">
        <f>IFERROR(__xludf.DUMMYFUNCTION("""COMPUTED_VALUE"""),1.6275)</f>
        <v>1.6275</v>
      </c>
      <c r="E420" s="20">
        <f>IFERROR(__xludf.DUMMYFUNCTION("""COMPUTED_VALUE"""),0.5628200000000001)</f>
        <v>0.56282</v>
      </c>
      <c r="F420" s="20">
        <f>IFERROR(__xludf.DUMMYFUNCTION("""COMPUTED_VALUE"""),0.5859438464285713)</f>
        <v>0.5859438464</v>
      </c>
      <c r="G420" s="20">
        <f>IFERROR(__xludf.DUMMYFUNCTION("""COMPUTED_VALUE"""),0.608)</f>
        <v>0.608</v>
      </c>
      <c r="H420" s="23"/>
      <c r="J420" s="22"/>
    </row>
    <row r="421">
      <c r="A421" s="19">
        <f>IFERROR(__xludf.DUMMYFUNCTION("""COMPUTED_VALUE"""),44981.0)</f>
        <v>44981</v>
      </c>
      <c r="B421" s="20">
        <f>IFERROR(__xludf.DUMMYFUNCTION("""COMPUTED_VALUE"""),1.3626333333333334)</f>
        <v>1.362633333</v>
      </c>
      <c r="C421" s="21">
        <f>IFERROR(__xludf.DUMMYFUNCTION("""COMPUTED_VALUE"""),0.9152)</f>
        <v>0.9152</v>
      </c>
      <c r="D421" s="21">
        <f>IFERROR(__xludf.DUMMYFUNCTION("""COMPUTED_VALUE"""),1.6275)</f>
        <v>1.6275</v>
      </c>
      <c r="E421" s="20">
        <f>IFERROR(__xludf.DUMMYFUNCTION("""COMPUTED_VALUE"""),0.5560942857142858)</f>
        <v>0.5560942857</v>
      </c>
      <c r="F421" s="20">
        <f>IFERROR(__xludf.DUMMYFUNCTION("""COMPUTED_VALUE"""),0.5860772142857142)</f>
        <v>0.5860772143</v>
      </c>
      <c r="G421" s="20">
        <f>IFERROR(__xludf.DUMMYFUNCTION("""COMPUTED_VALUE"""),0.608)</f>
        <v>0.608</v>
      </c>
      <c r="H421" s="23"/>
      <c r="J421" s="22"/>
    </row>
    <row r="422">
      <c r="A422" s="19">
        <f>IFERROR(__xludf.DUMMYFUNCTION("""COMPUTED_VALUE"""),44982.0)</f>
        <v>44982</v>
      </c>
      <c r="B422" s="20">
        <f>IFERROR(__xludf.DUMMYFUNCTION("""COMPUTED_VALUE"""),1.3626333333333334)</f>
        <v>1.362633333</v>
      </c>
      <c r="C422" s="21">
        <f>IFERROR(__xludf.DUMMYFUNCTION("""COMPUTED_VALUE"""),0.9152)</f>
        <v>0.9152</v>
      </c>
      <c r="D422" s="21">
        <f>IFERROR(__xludf.DUMMYFUNCTION("""COMPUTED_VALUE"""),1.6275)</f>
        <v>1.6275</v>
      </c>
      <c r="E422" s="20">
        <f>IFERROR(__xludf.DUMMYFUNCTION("""COMPUTED_VALUE"""),0.55747)</f>
        <v>0.55747</v>
      </c>
      <c r="F422" s="20">
        <f>IFERROR(__xludf.DUMMYFUNCTION("""COMPUTED_VALUE"""),0.586210582142857)</f>
        <v>0.5862105821</v>
      </c>
      <c r="G422" s="20">
        <f>IFERROR(__xludf.DUMMYFUNCTION("""COMPUTED_VALUE"""),0.608)</f>
        <v>0.608</v>
      </c>
      <c r="H422" s="23"/>
      <c r="J422" s="22"/>
    </row>
    <row r="423">
      <c r="A423" s="19">
        <f>IFERROR(__xludf.DUMMYFUNCTION("""COMPUTED_VALUE"""),44983.0)</f>
        <v>44983</v>
      </c>
      <c r="B423" s="20">
        <f>IFERROR(__xludf.DUMMYFUNCTION("""COMPUTED_VALUE"""),1.3626333333333334)</f>
        <v>1.362633333</v>
      </c>
      <c r="C423" s="21">
        <f>IFERROR(__xludf.DUMMYFUNCTION("""COMPUTED_VALUE"""),0.9152)</f>
        <v>0.9152</v>
      </c>
      <c r="D423" s="21">
        <f>IFERROR(__xludf.DUMMYFUNCTION("""COMPUTED_VALUE"""),1.6275)</f>
        <v>1.6275</v>
      </c>
      <c r="E423" s="20">
        <f>IFERROR(__xludf.DUMMYFUNCTION("""COMPUTED_VALUE"""),0.5588457142857143)</f>
        <v>0.5588457143</v>
      </c>
      <c r="F423" s="20">
        <f>IFERROR(__xludf.DUMMYFUNCTION("""COMPUTED_VALUE"""),0.5863439499999998)</f>
        <v>0.58634395</v>
      </c>
      <c r="G423" s="20">
        <f>IFERROR(__xludf.DUMMYFUNCTION("""COMPUTED_VALUE"""),0.608)</f>
        <v>0.608</v>
      </c>
      <c r="H423" s="23"/>
      <c r="J423" s="22"/>
    </row>
    <row r="424">
      <c r="A424" s="19">
        <f>IFERROR(__xludf.DUMMYFUNCTION("""COMPUTED_VALUE"""),44984.0)</f>
        <v>44984</v>
      </c>
      <c r="B424" s="20">
        <f>IFERROR(__xludf.DUMMYFUNCTION("""COMPUTED_VALUE"""),1.3108285714285715)</f>
        <v>1.310828571</v>
      </c>
      <c r="C424" s="21">
        <f>IFERROR(__xludf.DUMMYFUNCTION("""COMPUTED_VALUE"""),0.9152)</f>
        <v>0.9152</v>
      </c>
      <c r="D424" s="21">
        <f>IFERROR(__xludf.DUMMYFUNCTION("""COMPUTED_VALUE"""),1.6275)</f>
        <v>1.6275</v>
      </c>
      <c r="E424" s="20">
        <f>IFERROR(__xludf.DUMMYFUNCTION("""COMPUTED_VALUE"""),0.5614442857142857)</f>
        <v>0.5614442857</v>
      </c>
      <c r="F424" s="20">
        <f>IFERROR(__xludf.DUMMYFUNCTION("""COMPUTED_VALUE"""),0.5827789392857142)</f>
        <v>0.5827789393</v>
      </c>
      <c r="G424" s="20">
        <f>IFERROR(__xludf.DUMMYFUNCTION("""COMPUTED_VALUE"""),0.608)</f>
        <v>0.608</v>
      </c>
      <c r="H424" s="23"/>
      <c r="J424" s="22"/>
    </row>
    <row r="425">
      <c r="A425" s="19">
        <f>IFERROR(__xludf.DUMMYFUNCTION("""COMPUTED_VALUE"""),44985.0)</f>
        <v>44985</v>
      </c>
      <c r="B425" s="20">
        <f>IFERROR(__xludf.DUMMYFUNCTION("""COMPUTED_VALUE"""),1.3108285714285715)</f>
        <v>1.310828571</v>
      </c>
      <c r="C425" s="21">
        <f>IFERROR(__xludf.DUMMYFUNCTION("""COMPUTED_VALUE"""),0.9152)</f>
        <v>0.9152</v>
      </c>
      <c r="D425" s="21">
        <f>IFERROR(__xludf.DUMMYFUNCTION("""COMPUTED_VALUE"""),1.6275)</f>
        <v>1.6275</v>
      </c>
      <c r="E425" s="20">
        <f>IFERROR(__xludf.DUMMYFUNCTION("""COMPUTED_VALUE"""),0.5600685714285714)</f>
        <v>0.5600685714</v>
      </c>
      <c r="F425" s="20">
        <f>IFERROR(__xludf.DUMMYFUNCTION("""COMPUTED_VALUE"""),0.5799690428571428)</f>
        <v>0.5799690429</v>
      </c>
      <c r="G425" s="20">
        <f>IFERROR(__xludf.DUMMYFUNCTION("""COMPUTED_VALUE"""),0.608)</f>
        <v>0.608</v>
      </c>
      <c r="H425" s="23"/>
      <c r="J425" s="22"/>
    </row>
    <row r="426">
      <c r="A426" s="19">
        <f>IFERROR(__xludf.DUMMYFUNCTION("""COMPUTED_VALUE"""),44986.0)</f>
        <v>44986</v>
      </c>
      <c r="B426" s="20">
        <f>IFERROR(__xludf.DUMMYFUNCTION("""COMPUTED_VALUE"""),1.3108285714285715)</f>
        <v>1.310828571</v>
      </c>
      <c r="C426" s="21">
        <f>IFERROR(__xludf.DUMMYFUNCTION("""COMPUTED_VALUE"""),0.9152)</f>
        <v>0.9152</v>
      </c>
      <c r="D426" s="21">
        <f>IFERROR(__xludf.DUMMYFUNCTION("""COMPUTED_VALUE"""),1.6275)</f>
        <v>1.6275</v>
      </c>
      <c r="E426" s="20">
        <f>IFERROR(__xludf.DUMMYFUNCTION("""COMPUTED_VALUE"""),0.5602978571428571)</f>
        <v>0.5602978571</v>
      </c>
      <c r="F426" s="20">
        <f>IFERROR(__xludf.DUMMYFUNCTION("""COMPUTED_VALUE"""),0.5759015142857143)</f>
        <v>0.5759015143</v>
      </c>
      <c r="G426" s="20">
        <f>IFERROR(__xludf.DUMMYFUNCTION("""COMPUTED_VALUE"""),0.498408)</f>
        <v>0.498408</v>
      </c>
      <c r="H426" s="23"/>
      <c r="J426" s="22"/>
    </row>
    <row r="427">
      <c r="A427" s="19">
        <f>IFERROR(__xludf.DUMMYFUNCTION("""COMPUTED_VALUE"""),44987.0)</f>
        <v>44987</v>
      </c>
      <c r="B427" s="20">
        <f>IFERROR(__xludf.DUMMYFUNCTION("""COMPUTED_VALUE"""),1.3108285714285715)</f>
        <v>1.310828571</v>
      </c>
      <c r="C427" s="21">
        <f>IFERROR(__xludf.DUMMYFUNCTION("""COMPUTED_VALUE"""),0.9152)</f>
        <v>0.9152</v>
      </c>
      <c r="D427" s="21">
        <f>IFERROR(__xludf.DUMMYFUNCTION("""COMPUTED_VALUE"""),1.6275)</f>
        <v>1.6275</v>
      </c>
      <c r="E427" s="20">
        <f>IFERROR(__xludf.DUMMYFUNCTION("""COMPUTED_VALUE"""),0.5600685714285714)</f>
        <v>0.5600685714</v>
      </c>
      <c r="F427" s="20">
        <f>IFERROR(__xludf.DUMMYFUNCTION("""COMPUTED_VALUE"""),0.5706489607142856)</f>
        <v>0.5706489607</v>
      </c>
      <c r="G427" s="20">
        <f>IFERROR(__xludf.DUMMYFUNCTION("""COMPUTED_VALUE"""),0.498408)</f>
        <v>0.498408</v>
      </c>
      <c r="H427" s="23"/>
      <c r="J427" s="22"/>
    </row>
    <row r="428">
      <c r="A428" s="19">
        <f>IFERROR(__xludf.DUMMYFUNCTION("""COMPUTED_VALUE"""),44988.0)</f>
        <v>44988</v>
      </c>
      <c r="B428" s="20">
        <f>IFERROR(__xludf.DUMMYFUNCTION("""COMPUTED_VALUE"""),1.3108285714285715)</f>
        <v>1.310828571</v>
      </c>
      <c r="C428" s="21">
        <f>IFERROR(__xludf.DUMMYFUNCTION("""COMPUTED_VALUE"""),0.9152)</f>
        <v>0.9152</v>
      </c>
      <c r="D428" s="21">
        <f>IFERROR(__xludf.DUMMYFUNCTION("""COMPUTED_VALUE"""),1.6275)</f>
        <v>1.6275</v>
      </c>
      <c r="E428" s="20">
        <f>IFERROR(__xludf.DUMMYFUNCTION("""COMPUTED_VALUE"""),0.5599157142857143)</f>
        <v>0.5599157143</v>
      </c>
      <c r="F428" s="20">
        <f>IFERROR(__xludf.DUMMYFUNCTION("""COMPUTED_VALUE"""),0.5624653714285713)</f>
        <v>0.5624653714</v>
      </c>
      <c r="G428" s="20">
        <f>IFERROR(__xludf.DUMMYFUNCTION("""COMPUTED_VALUE"""),0.498408)</f>
        <v>0.498408</v>
      </c>
      <c r="H428" s="23"/>
      <c r="J428" s="22"/>
    </row>
    <row r="429">
      <c r="A429" s="19">
        <f>IFERROR(__xludf.DUMMYFUNCTION("""COMPUTED_VALUE"""),44989.0)</f>
        <v>44989</v>
      </c>
      <c r="B429" s="20">
        <f>IFERROR(__xludf.DUMMYFUNCTION("""COMPUTED_VALUE"""),1.3108285714285715)</f>
        <v>1.310828571</v>
      </c>
      <c r="C429" s="21">
        <f>IFERROR(__xludf.DUMMYFUNCTION("""COMPUTED_VALUE"""),0.9152)</f>
        <v>0.9152</v>
      </c>
      <c r="D429" s="21">
        <f>IFERROR(__xludf.DUMMYFUNCTION("""COMPUTED_VALUE"""),1.6275)</f>
        <v>1.6275</v>
      </c>
      <c r="E429" s="20">
        <f>IFERROR(__xludf.DUMMYFUNCTION("""COMPUTED_VALUE"""),0.5519671428571429)</f>
        <v>0.5519671429</v>
      </c>
      <c r="F429" s="20">
        <f>IFERROR(__xludf.DUMMYFUNCTION("""COMPUTED_VALUE"""),0.554281782142857)</f>
        <v>0.5542817821</v>
      </c>
      <c r="G429" s="20">
        <f>IFERROR(__xludf.DUMMYFUNCTION("""COMPUTED_VALUE"""),0.498408)</f>
        <v>0.498408</v>
      </c>
      <c r="H429" s="23"/>
      <c r="J429" s="22"/>
    </row>
    <row r="430">
      <c r="A430" s="19">
        <f>IFERROR(__xludf.DUMMYFUNCTION("""COMPUTED_VALUE"""),44990.0)</f>
        <v>44990</v>
      </c>
      <c r="B430" s="20">
        <f>IFERROR(__xludf.DUMMYFUNCTION("""COMPUTED_VALUE"""),1.3108285714285715)</f>
        <v>1.310828571</v>
      </c>
      <c r="C430" s="21">
        <f>IFERROR(__xludf.DUMMYFUNCTION("""COMPUTED_VALUE"""),0.9152)</f>
        <v>0.9152</v>
      </c>
      <c r="D430" s="21">
        <f>IFERROR(__xludf.DUMMYFUNCTION("""COMPUTED_VALUE"""),1.6275)</f>
        <v>1.6275</v>
      </c>
      <c r="E430" s="20">
        <f>IFERROR(__xludf.DUMMYFUNCTION("""COMPUTED_VALUE"""),0.5440185714285715)</f>
        <v>0.5440185714</v>
      </c>
      <c r="F430" s="20">
        <f>IFERROR(__xludf.DUMMYFUNCTION("""COMPUTED_VALUE"""),0.5460981928571427)</f>
        <v>0.5460981929</v>
      </c>
      <c r="G430" s="20">
        <f>IFERROR(__xludf.DUMMYFUNCTION("""COMPUTED_VALUE"""),0.498408)</f>
        <v>0.498408</v>
      </c>
      <c r="H430" s="23"/>
      <c r="J430" s="22"/>
    </row>
    <row r="431">
      <c r="A431" s="19">
        <f>IFERROR(__xludf.DUMMYFUNCTION("""COMPUTED_VALUE"""),44991.0)</f>
        <v>44991</v>
      </c>
      <c r="B431" s="20">
        <f>IFERROR(__xludf.DUMMYFUNCTION("""COMPUTED_VALUE"""),1.3108285714285715)</f>
        <v>1.310828571</v>
      </c>
      <c r="C431" s="21">
        <f>IFERROR(__xludf.DUMMYFUNCTION("""COMPUTED_VALUE"""),0.9152)</f>
        <v>0.9152</v>
      </c>
      <c r="D431" s="21">
        <f>IFERROR(__xludf.DUMMYFUNCTION("""COMPUTED_VALUE"""),1.6275)</f>
        <v>1.6275</v>
      </c>
      <c r="E431" s="20">
        <f>IFERROR(__xludf.DUMMYFUNCTION("""COMPUTED_VALUE"""),0.5345414285714286)</f>
        <v>0.5345414286</v>
      </c>
      <c r="F431" s="20">
        <f>IFERROR(__xludf.DUMMYFUNCTION("""COMPUTED_VALUE"""),0.5380407107142856)</f>
        <v>0.5380407107</v>
      </c>
      <c r="G431" s="20">
        <f>IFERROR(__xludf.DUMMYFUNCTION("""COMPUTED_VALUE"""),0.498408)</f>
        <v>0.498408</v>
      </c>
      <c r="H431" s="23"/>
      <c r="J431" s="22"/>
    </row>
    <row r="432">
      <c r="A432" s="19">
        <f>IFERROR(__xludf.DUMMYFUNCTION("""COMPUTED_VALUE"""),44992.0)</f>
        <v>44992</v>
      </c>
      <c r="B432" s="20">
        <f>IFERROR(__xludf.DUMMYFUNCTION("""COMPUTED_VALUE"""),1.3108285714285715)</f>
        <v>1.310828571</v>
      </c>
      <c r="C432" s="21">
        <f>IFERROR(__xludf.DUMMYFUNCTION("""COMPUTED_VALUE"""),0.9152)</f>
        <v>0.9152</v>
      </c>
      <c r="D432" s="21">
        <f>IFERROR(__xludf.DUMMYFUNCTION("""COMPUTED_VALUE"""),1.6275)</f>
        <v>1.6275</v>
      </c>
      <c r="E432" s="20">
        <f>IFERROR(__xludf.DUMMYFUNCTION("""COMPUTED_VALUE"""),0.5217014285714285)</f>
        <v>0.5217014286</v>
      </c>
      <c r="F432" s="20">
        <f>IFERROR(__xludf.DUMMYFUNCTION("""COMPUTED_VALUE"""),0.5323613035714285)</f>
        <v>0.5323613036</v>
      </c>
      <c r="G432" s="20">
        <f>IFERROR(__xludf.DUMMYFUNCTION("""COMPUTED_VALUE"""),0.498408)</f>
        <v>0.498408</v>
      </c>
      <c r="H432" s="23"/>
      <c r="J432" s="22"/>
    </row>
    <row r="433">
      <c r="A433" s="19">
        <f>IFERROR(__xludf.DUMMYFUNCTION("""COMPUTED_VALUE"""),44993.0)</f>
        <v>44993</v>
      </c>
      <c r="B433" s="20">
        <f>IFERROR(__xludf.DUMMYFUNCTION("""COMPUTED_VALUE"""),1.3108285714285715)</f>
        <v>1.310828571</v>
      </c>
      <c r="C433" s="21">
        <f>IFERROR(__xludf.DUMMYFUNCTION("""COMPUTED_VALUE"""),0.9152)</f>
        <v>0.9152</v>
      </c>
      <c r="D433" s="21">
        <f>IFERROR(__xludf.DUMMYFUNCTION("""COMPUTED_VALUE"""),1.6275)</f>
        <v>1.6275</v>
      </c>
      <c r="E433" s="20">
        <f>IFERROR(__xludf.DUMMYFUNCTION("""COMPUTED_VALUE"""),0.5127592857142858)</f>
        <v>0.5127592857</v>
      </c>
      <c r="F433" s="20">
        <f>IFERROR(__xludf.DUMMYFUNCTION("""COMPUTED_VALUE"""),0.5253065642857142)</f>
        <v>0.5253065643</v>
      </c>
      <c r="G433" s="20">
        <f>IFERROR(__xludf.DUMMYFUNCTION("""COMPUTED_VALUE"""),0.498408)</f>
        <v>0.498408</v>
      </c>
      <c r="H433" s="23"/>
      <c r="J433" s="22"/>
    </row>
    <row r="434">
      <c r="A434" s="19">
        <f>IFERROR(__xludf.DUMMYFUNCTION("""COMPUTED_VALUE"""),44994.0)</f>
        <v>44994</v>
      </c>
      <c r="B434" s="20">
        <f>IFERROR(__xludf.DUMMYFUNCTION("""COMPUTED_VALUE"""),1.3108285714285715)</f>
        <v>1.310828571</v>
      </c>
      <c r="C434" s="21">
        <f>IFERROR(__xludf.DUMMYFUNCTION("""COMPUTED_VALUE"""),0.9152)</f>
        <v>0.9152</v>
      </c>
      <c r="D434" s="21">
        <f>IFERROR(__xludf.DUMMYFUNCTION("""COMPUTED_VALUE"""),1.6275)</f>
        <v>1.6275</v>
      </c>
      <c r="E434" s="20">
        <f>IFERROR(__xludf.DUMMYFUNCTION("""COMPUTED_VALUE"""),0.4999957142857143)</f>
        <v>0.4999957143</v>
      </c>
      <c r="F434" s="20">
        <f>IFERROR(__xludf.DUMMYFUNCTION("""COMPUTED_VALUE"""),0.5200589785714286)</f>
        <v>0.5200589786</v>
      </c>
      <c r="G434" s="20">
        <f>IFERROR(__xludf.DUMMYFUNCTION("""COMPUTED_VALUE"""),0.498408)</f>
        <v>0.498408</v>
      </c>
      <c r="H434" s="23"/>
      <c r="J434" s="22"/>
    </row>
    <row r="435">
      <c r="A435" s="19">
        <f>IFERROR(__xludf.DUMMYFUNCTION("""COMPUTED_VALUE"""),44995.0)</f>
        <v>44995</v>
      </c>
      <c r="B435" s="20">
        <f>IFERROR(__xludf.DUMMYFUNCTION("""COMPUTED_VALUE"""),1.3108285714285715)</f>
        <v>1.310828571</v>
      </c>
      <c r="C435" s="21">
        <f>IFERROR(__xludf.DUMMYFUNCTION("""COMPUTED_VALUE"""),0.9152)</f>
        <v>0.9152</v>
      </c>
      <c r="D435" s="21">
        <f>IFERROR(__xludf.DUMMYFUNCTION("""COMPUTED_VALUE"""),1.6275)</f>
        <v>1.6275</v>
      </c>
      <c r="E435" s="20">
        <f>IFERROR(__xludf.DUMMYFUNCTION("""COMPUTED_VALUE"""),0.4831814285714286)</f>
        <v>0.4831814286</v>
      </c>
      <c r="F435" s="20">
        <f>IFERROR(__xludf.DUMMYFUNCTION("""COMPUTED_VALUE"""),0.5297581464285713)</f>
        <v>0.5297581464</v>
      </c>
      <c r="G435" s="20">
        <f>IFERROR(__xludf.DUMMYFUNCTION("""COMPUTED_VALUE"""),0.498408)</f>
        <v>0.498408</v>
      </c>
      <c r="H435" s="23"/>
      <c r="J435" s="22"/>
    </row>
    <row r="436">
      <c r="A436" s="19">
        <f>IFERROR(__xludf.DUMMYFUNCTION("""COMPUTED_VALUE"""),44996.0)</f>
        <v>44996</v>
      </c>
      <c r="B436" s="20">
        <f>IFERROR(__xludf.DUMMYFUNCTION("""COMPUTED_VALUE"""),1.3108285714285715)</f>
        <v>1.310828571</v>
      </c>
      <c r="C436" s="21">
        <f>IFERROR(__xludf.DUMMYFUNCTION("""COMPUTED_VALUE"""),0.9152)</f>
        <v>0.9152</v>
      </c>
      <c r="D436" s="21">
        <f>IFERROR(__xludf.DUMMYFUNCTION("""COMPUTED_VALUE"""),1.6275)</f>
        <v>1.6275</v>
      </c>
      <c r="E436" s="20">
        <f>IFERROR(__xludf.DUMMYFUNCTION("""COMPUTED_VALUE"""),0.4866971428571429)</f>
        <v>0.4866971429</v>
      </c>
      <c r="F436" s="20">
        <f>IFERROR(__xludf.DUMMYFUNCTION("""COMPUTED_VALUE"""),0.5394573142857142)</f>
        <v>0.5394573143</v>
      </c>
      <c r="G436" s="20">
        <f>IFERROR(__xludf.DUMMYFUNCTION("""COMPUTED_VALUE"""),0.498408)</f>
        <v>0.498408</v>
      </c>
      <c r="H436" s="23"/>
      <c r="J436" s="22"/>
    </row>
    <row r="437">
      <c r="A437" s="19">
        <f>IFERROR(__xludf.DUMMYFUNCTION("""COMPUTED_VALUE"""),44997.0)</f>
        <v>44997</v>
      </c>
      <c r="B437" s="20">
        <f>IFERROR(__xludf.DUMMYFUNCTION("""COMPUTED_VALUE"""),1.3108285714285715)</f>
        <v>1.310828571</v>
      </c>
      <c r="C437" s="21">
        <f>IFERROR(__xludf.DUMMYFUNCTION("""COMPUTED_VALUE"""),0.9152)</f>
        <v>0.9152</v>
      </c>
      <c r="D437" s="21">
        <f>IFERROR(__xludf.DUMMYFUNCTION("""COMPUTED_VALUE"""),1.6275)</f>
        <v>1.6275</v>
      </c>
      <c r="E437" s="20">
        <f>IFERROR(__xludf.DUMMYFUNCTION("""COMPUTED_VALUE"""),0.4902128571428572)</f>
        <v>0.4902128571</v>
      </c>
      <c r="F437" s="20">
        <f>IFERROR(__xludf.DUMMYFUNCTION("""COMPUTED_VALUE"""),0.5491564821428571)</f>
        <v>0.5491564821</v>
      </c>
      <c r="G437" s="20">
        <f>IFERROR(__xludf.DUMMYFUNCTION("""COMPUTED_VALUE"""),0.498408)</f>
        <v>0.498408</v>
      </c>
      <c r="H437" s="23"/>
      <c r="J437" s="22"/>
    </row>
    <row r="438">
      <c r="A438" s="19">
        <f>IFERROR(__xludf.DUMMYFUNCTION("""COMPUTED_VALUE"""),44998.0)</f>
        <v>44998</v>
      </c>
      <c r="B438" s="20">
        <f>IFERROR(__xludf.DUMMYFUNCTION("""COMPUTED_VALUE"""),1.3108285714285715)</f>
        <v>1.310828571</v>
      </c>
      <c r="C438" s="21">
        <f>IFERROR(__xludf.DUMMYFUNCTION("""COMPUTED_VALUE"""),0.9152)</f>
        <v>0.9152</v>
      </c>
      <c r="D438" s="21">
        <f>IFERROR(__xludf.DUMMYFUNCTION("""COMPUTED_VALUE"""),1.6275)</f>
        <v>1.6275</v>
      </c>
      <c r="E438" s="20">
        <f>IFERROR(__xludf.DUMMYFUNCTION("""COMPUTED_VALUE"""),0.49158857142857143)</f>
        <v>0.4915885714</v>
      </c>
      <c r="F438" s="20">
        <f>IFERROR(__xludf.DUMMYFUNCTION("""COMPUTED_VALUE"""),0.5598102428571428)</f>
        <v>0.5598102429</v>
      </c>
      <c r="G438" s="20">
        <f>IFERROR(__xludf.DUMMYFUNCTION("""COMPUTED_VALUE"""),0.498408)</f>
        <v>0.498408</v>
      </c>
      <c r="H438" s="23"/>
      <c r="J438" s="22"/>
    </row>
    <row r="439">
      <c r="A439" s="19">
        <f>IFERROR(__xludf.DUMMYFUNCTION("""COMPUTED_VALUE"""),44999.0)</f>
        <v>44999</v>
      </c>
      <c r="B439" s="20">
        <f>IFERROR(__xludf.DUMMYFUNCTION("""COMPUTED_VALUE"""),1.3108285714285715)</f>
        <v>1.310828571</v>
      </c>
      <c r="C439" s="21">
        <f>IFERROR(__xludf.DUMMYFUNCTION("""COMPUTED_VALUE"""),0.9152)</f>
        <v>0.9152</v>
      </c>
      <c r="D439" s="21">
        <f>IFERROR(__xludf.DUMMYFUNCTION("""COMPUTED_VALUE"""),1.6275)</f>
        <v>1.6275</v>
      </c>
      <c r="E439" s="20">
        <f>IFERROR(__xludf.DUMMYFUNCTION("""COMPUTED_VALUE"""),0.5035878571428571)</f>
        <v>0.5035878571</v>
      </c>
      <c r="F439" s="20">
        <f>IFERROR(__xludf.DUMMYFUNCTION("""COMPUTED_VALUE"""),0.5609421499999999)</f>
        <v>0.56094215</v>
      </c>
      <c r="G439" s="20">
        <f>IFERROR(__xludf.DUMMYFUNCTION("""COMPUTED_VALUE"""),0.498408)</f>
        <v>0.498408</v>
      </c>
      <c r="H439" s="23"/>
      <c r="J439" s="22"/>
    </row>
    <row r="440">
      <c r="A440" s="19">
        <f>IFERROR(__xludf.DUMMYFUNCTION("""COMPUTED_VALUE"""),45000.0)</f>
        <v>45000</v>
      </c>
      <c r="B440" s="20">
        <f>IFERROR(__xludf.DUMMYFUNCTION("""COMPUTED_VALUE"""),1.3108285714285715)</f>
        <v>1.310828571</v>
      </c>
      <c r="C440" s="21">
        <f>IFERROR(__xludf.DUMMYFUNCTION("""COMPUTED_VALUE"""),0.9152)</f>
        <v>0.9152</v>
      </c>
      <c r="D440" s="21">
        <f>IFERROR(__xludf.DUMMYFUNCTION("""COMPUTED_VALUE"""),1.6275)</f>
        <v>1.6275</v>
      </c>
      <c r="E440" s="20">
        <f>IFERROR(__xludf.DUMMYFUNCTION("""COMPUTED_VALUE"""),0.50397)</f>
        <v>0.50397</v>
      </c>
      <c r="F440" s="20">
        <f>IFERROR(__xludf.DUMMYFUNCTION("""COMPUTED_VALUE"""),0.5613155035714286)</f>
        <v>0.5613155036</v>
      </c>
      <c r="G440" s="20">
        <f>IFERROR(__xludf.DUMMYFUNCTION("""COMPUTED_VALUE"""),0.498408)</f>
        <v>0.498408</v>
      </c>
      <c r="H440" s="23"/>
      <c r="J440" s="22"/>
    </row>
    <row r="441">
      <c r="A441" s="19">
        <f>IFERROR(__xludf.DUMMYFUNCTION("""COMPUTED_VALUE"""),45001.0)</f>
        <v>45001</v>
      </c>
      <c r="B441" s="20">
        <f>IFERROR(__xludf.DUMMYFUNCTION("""COMPUTED_VALUE"""),1.3108285714285715)</f>
        <v>1.310828571</v>
      </c>
      <c r="C441" s="21">
        <f>IFERROR(__xludf.DUMMYFUNCTION("""COMPUTED_VALUE"""),0.9152)</f>
        <v>0.9152</v>
      </c>
      <c r="D441" s="21">
        <f>IFERROR(__xludf.DUMMYFUNCTION("""COMPUTED_VALUE"""),1.6275)</f>
        <v>1.6275</v>
      </c>
      <c r="E441" s="20">
        <f>IFERROR(__xludf.DUMMYFUNCTION("""COMPUTED_VALUE"""),0.5073328571428571)</f>
        <v>0.5073328571</v>
      </c>
      <c r="F441" s="20">
        <f>IFERROR(__xludf.DUMMYFUNCTION("""COMPUTED_VALUE"""),0.5625731357142857)</f>
        <v>0.5625731357</v>
      </c>
      <c r="G441" s="20">
        <f>IFERROR(__xludf.DUMMYFUNCTION("""COMPUTED_VALUE"""),0.498408)</f>
        <v>0.498408</v>
      </c>
      <c r="H441" s="23"/>
      <c r="J441" s="22"/>
    </row>
    <row r="442">
      <c r="A442" s="19">
        <f>IFERROR(__xludf.DUMMYFUNCTION("""COMPUTED_VALUE"""),45002.0)</f>
        <v>45002</v>
      </c>
      <c r="B442" s="20">
        <f>IFERROR(__xludf.DUMMYFUNCTION("""COMPUTED_VALUE"""),1.3108285714285715)</f>
        <v>1.310828571</v>
      </c>
      <c r="C442" s="21">
        <f>IFERROR(__xludf.DUMMYFUNCTION("""COMPUTED_VALUE"""),0.9152)</f>
        <v>0.9152</v>
      </c>
      <c r="D442" s="21">
        <f>IFERROR(__xludf.DUMMYFUNCTION("""COMPUTED_VALUE"""),1.6275)</f>
        <v>1.6275</v>
      </c>
      <c r="E442" s="20">
        <f>IFERROR(__xludf.DUMMYFUNCTION("""COMPUTED_VALUE"""),0.5161985714285714)</f>
        <v>0.5161985714</v>
      </c>
      <c r="F442" s="20">
        <f>IFERROR(__xludf.DUMMYFUNCTION("""COMPUTED_VALUE"""),0.549720525)</f>
        <v>0.549720525</v>
      </c>
      <c r="G442" s="20">
        <f>IFERROR(__xludf.DUMMYFUNCTION("""COMPUTED_VALUE"""),0.498408)</f>
        <v>0.498408</v>
      </c>
      <c r="H442" s="23"/>
      <c r="J442" s="22"/>
    </row>
    <row r="443">
      <c r="A443" s="19">
        <f>IFERROR(__xludf.DUMMYFUNCTION("""COMPUTED_VALUE"""),45003.0)</f>
        <v>45003</v>
      </c>
      <c r="B443" s="20">
        <f>IFERROR(__xludf.DUMMYFUNCTION("""COMPUTED_VALUE"""),1.3108285714285715)</f>
        <v>1.310828571</v>
      </c>
      <c r="C443" s="21">
        <f>IFERROR(__xludf.DUMMYFUNCTION("""COMPUTED_VALUE"""),0.9152)</f>
        <v>0.9152</v>
      </c>
      <c r="D443" s="21">
        <f>IFERROR(__xludf.DUMMYFUNCTION("""COMPUTED_VALUE"""),1.6275)</f>
        <v>1.6275</v>
      </c>
      <c r="E443" s="20">
        <f>IFERROR(__xludf.DUMMYFUNCTION("""COMPUTED_VALUE"""),0.5097785714285713)</f>
        <v>0.5097785714</v>
      </c>
      <c r="F443" s="20">
        <f>IFERROR(__xludf.DUMMYFUNCTION("""COMPUTED_VALUE"""),0.5368679142857143)</f>
        <v>0.5368679143</v>
      </c>
      <c r="G443" s="20">
        <f>IFERROR(__xludf.DUMMYFUNCTION("""COMPUTED_VALUE"""),0.498408)</f>
        <v>0.498408</v>
      </c>
      <c r="H443" s="23"/>
      <c r="J443" s="22"/>
    </row>
    <row r="444">
      <c r="A444" s="19">
        <f>IFERROR(__xludf.DUMMYFUNCTION("""COMPUTED_VALUE"""),45004.0)</f>
        <v>45004</v>
      </c>
      <c r="B444" s="20">
        <f>IFERROR(__xludf.DUMMYFUNCTION("""COMPUTED_VALUE"""),1.3108285714285715)</f>
        <v>1.310828571</v>
      </c>
      <c r="C444" s="21">
        <f>IFERROR(__xludf.DUMMYFUNCTION("""COMPUTED_VALUE"""),0.9152)</f>
        <v>0.9152</v>
      </c>
      <c r="D444" s="21">
        <f>IFERROR(__xludf.DUMMYFUNCTION("""COMPUTED_VALUE"""),1.6275)</f>
        <v>1.6275</v>
      </c>
      <c r="E444" s="20">
        <f>IFERROR(__xludf.DUMMYFUNCTION("""COMPUTED_VALUE"""),0.5033585714285713)</f>
        <v>0.5033585714</v>
      </c>
      <c r="F444" s="20">
        <f>IFERROR(__xludf.DUMMYFUNCTION("""COMPUTED_VALUE"""),0.5240153035714286)</f>
        <v>0.5240153036</v>
      </c>
      <c r="G444" s="20">
        <f>IFERROR(__xludf.DUMMYFUNCTION("""COMPUTED_VALUE"""),0.498408)</f>
        <v>0.498408</v>
      </c>
      <c r="H444" s="23"/>
      <c r="J444" s="22"/>
    </row>
    <row r="445">
      <c r="A445" s="19">
        <f>IFERROR(__xludf.DUMMYFUNCTION("""COMPUTED_VALUE"""),45005.0)</f>
        <v>45005</v>
      </c>
      <c r="B445" s="20">
        <f>IFERROR(__xludf.DUMMYFUNCTION("""COMPUTED_VALUE"""),1.3108285714285715)</f>
        <v>1.310828571</v>
      </c>
      <c r="C445" s="21">
        <f>IFERROR(__xludf.DUMMYFUNCTION("""COMPUTED_VALUE"""),0.9152)</f>
        <v>0.9152</v>
      </c>
      <c r="D445" s="21">
        <f>IFERROR(__xludf.DUMMYFUNCTION("""COMPUTED_VALUE"""),1.6275)</f>
        <v>1.6275</v>
      </c>
      <c r="E445" s="20">
        <f>IFERROR(__xludf.DUMMYFUNCTION("""COMPUTED_VALUE"""),0.4967092857142857)</f>
        <v>0.4967092857</v>
      </c>
      <c r="F445" s="20">
        <f>IFERROR(__xludf.DUMMYFUNCTION("""COMPUTED_VALUE"""),0.5099031500000001)</f>
        <v>0.50990315</v>
      </c>
      <c r="G445" s="20">
        <f>IFERROR(__xludf.DUMMYFUNCTION("""COMPUTED_VALUE"""),0.498408)</f>
        <v>0.498408</v>
      </c>
      <c r="H445" s="23"/>
      <c r="J445" s="22"/>
    </row>
    <row r="446">
      <c r="A446" s="19">
        <f>IFERROR(__xludf.DUMMYFUNCTION("""COMPUTED_VALUE"""),45006.0)</f>
        <v>45006</v>
      </c>
      <c r="B446" s="20">
        <f>IFERROR(__xludf.DUMMYFUNCTION("""COMPUTED_VALUE"""),1.3108285714285715)</f>
        <v>1.310828571</v>
      </c>
      <c r="C446" s="21">
        <f>IFERROR(__xludf.DUMMYFUNCTION("""COMPUTED_VALUE"""),0.9152)</f>
        <v>0.9152</v>
      </c>
      <c r="D446" s="21">
        <f>IFERROR(__xludf.DUMMYFUNCTION("""COMPUTED_VALUE"""),1.6275)</f>
        <v>1.6275</v>
      </c>
      <c r="E446" s="20">
        <f>IFERROR(__xludf.DUMMYFUNCTION("""COMPUTED_VALUE"""),0.4827228571428571)</f>
        <v>0.4827228571</v>
      </c>
      <c r="F446" s="20">
        <f>IFERROR(__xludf.DUMMYFUNCTION("""COMPUTED_VALUE"""),0.507728375)</f>
        <v>0.507728375</v>
      </c>
      <c r="G446" s="20">
        <f>IFERROR(__xludf.DUMMYFUNCTION("""COMPUTED_VALUE"""),0.498408)</f>
        <v>0.498408</v>
      </c>
      <c r="H446" s="23"/>
      <c r="J446" s="22"/>
    </row>
    <row r="447">
      <c r="A447" s="19">
        <f>IFERROR(__xludf.DUMMYFUNCTION("""COMPUTED_VALUE"""),45007.0)</f>
        <v>45007</v>
      </c>
      <c r="B447" s="20">
        <f>IFERROR(__xludf.DUMMYFUNCTION("""COMPUTED_VALUE"""),1.3108285714285715)</f>
        <v>1.310828571</v>
      </c>
      <c r="C447" s="21">
        <f>IFERROR(__xludf.DUMMYFUNCTION("""COMPUTED_VALUE"""),0.9152)</f>
        <v>0.9152</v>
      </c>
      <c r="D447" s="21">
        <f>IFERROR(__xludf.DUMMYFUNCTION("""COMPUTED_VALUE"""),1.6275)</f>
        <v>1.6275</v>
      </c>
      <c r="E447" s="20">
        <f>IFERROR(__xludf.DUMMYFUNCTION("""COMPUTED_VALUE"""),0.4832578571428571)</f>
        <v>0.4832578571</v>
      </c>
      <c r="F447" s="20">
        <f>IFERROR(__xludf.DUMMYFUNCTION("""COMPUTED_VALUE"""),0.5043941785714285)</f>
        <v>0.5043941786</v>
      </c>
      <c r="G447" s="20">
        <f>IFERROR(__xludf.DUMMYFUNCTION("""COMPUTED_VALUE"""),0.498408)</f>
        <v>0.498408</v>
      </c>
      <c r="H447" s="23"/>
      <c r="J447" s="22"/>
    </row>
    <row r="448">
      <c r="A448" s="19">
        <f>IFERROR(__xludf.DUMMYFUNCTION("""COMPUTED_VALUE"""),45008.0)</f>
        <v>45008</v>
      </c>
      <c r="B448" s="20">
        <f>IFERROR(__xludf.DUMMYFUNCTION("""COMPUTED_VALUE"""),1.3108285714285715)</f>
        <v>1.310828571</v>
      </c>
      <c r="C448" s="21">
        <f>IFERROR(__xludf.DUMMYFUNCTION("""COMPUTED_VALUE"""),0.9152)</f>
        <v>0.9152</v>
      </c>
      <c r="D448" s="21">
        <f>IFERROR(__xludf.DUMMYFUNCTION("""COMPUTED_VALUE"""),1.6275)</f>
        <v>1.6275</v>
      </c>
      <c r="E448" s="20">
        <f>IFERROR(__xludf.DUMMYFUNCTION("""COMPUTED_VALUE"""),0.48081214285714285)</f>
        <v>0.4808121429</v>
      </c>
      <c r="F448" s="20">
        <f>IFERROR(__xludf.DUMMYFUNCTION("""COMPUTED_VALUE"""),0.5027288)</f>
        <v>0.5027288</v>
      </c>
      <c r="G448" s="20">
        <f>IFERROR(__xludf.DUMMYFUNCTION("""COMPUTED_VALUE"""),0.498408)</f>
        <v>0.498408</v>
      </c>
      <c r="H448" s="23"/>
      <c r="J448" s="22"/>
    </row>
    <row r="449">
      <c r="A449" s="19">
        <f>IFERROR(__xludf.DUMMYFUNCTION("""COMPUTED_VALUE"""),45009.0)</f>
        <v>45009</v>
      </c>
      <c r="B449" s="20">
        <f>IFERROR(__xludf.DUMMYFUNCTION("""COMPUTED_VALUE"""),1.3108285714285715)</f>
        <v>1.310828571</v>
      </c>
      <c r="C449" s="21">
        <f>IFERROR(__xludf.DUMMYFUNCTION("""COMPUTED_VALUE"""),0.9152)</f>
        <v>0.9152</v>
      </c>
      <c r="D449" s="21">
        <f>IFERROR(__xludf.DUMMYFUNCTION("""COMPUTED_VALUE"""),1.6275)</f>
        <v>1.6275</v>
      </c>
      <c r="E449" s="20">
        <f>IFERROR(__xludf.DUMMYFUNCTION("""COMPUTED_VALUE"""),0.47989499999999996)</f>
        <v>0.479895</v>
      </c>
      <c r="F449" s="20">
        <f>IFERROR(__xludf.DUMMYFUNCTION("""COMPUTED_VALUE"""),0.5009002464285713)</f>
        <v>0.5009002464</v>
      </c>
      <c r="G449" s="20">
        <f>IFERROR(__xludf.DUMMYFUNCTION("""COMPUTED_VALUE"""),0.498408)</f>
        <v>0.498408</v>
      </c>
      <c r="H449" s="23"/>
      <c r="J449" s="22"/>
    </row>
    <row r="450">
      <c r="A450" s="19">
        <f>IFERROR(__xludf.DUMMYFUNCTION("""COMPUTED_VALUE"""),45010.0)</f>
        <v>45010</v>
      </c>
      <c r="B450" s="20">
        <f>IFERROR(__xludf.DUMMYFUNCTION("""COMPUTED_VALUE"""),1.3108285714285715)</f>
        <v>1.310828571</v>
      </c>
      <c r="C450" s="21">
        <f>IFERROR(__xludf.DUMMYFUNCTION("""COMPUTED_VALUE"""),0.9152)</f>
        <v>0.9152</v>
      </c>
      <c r="D450" s="21">
        <f>IFERROR(__xludf.DUMMYFUNCTION("""COMPUTED_VALUE"""),1.6275)</f>
        <v>1.6275</v>
      </c>
      <c r="E450" s="20">
        <f>IFERROR(__xludf.DUMMYFUNCTION("""COMPUTED_VALUE"""),0.47630285714285714)</f>
        <v>0.4763028571</v>
      </c>
      <c r="F450" s="20">
        <f>IFERROR(__xludf.DUMMYFUNCTION("""COMPUTED_VALUE"""),0.4990716928571427)</f>
        <v>0.4990716929</v>
      </c>
      <c r="G450" s="20">
        <f>IFERROR(__xludf.DUMMYFUNCTION("""COMPUTED_VALUE"""),0.498408)</f>
        <v>0.498408</v>
      </c>
      <c r="H450" s="23"/>
      <c r="J450" s="22"/>
    </row>
    <row r="451">
      <c r="A451" s="19">
        <f>IFERROR(__xludf.DUMMYFUNCTION("""COMPUTED_VALUE"""),45011.0)</f>
        <v>45011</v>
      </c>
      <c r="B451" s="20">
        <f>IFERROR(__xludf.DUMMYFUNCTION("""COMPUTED_VALUE"""),1.3108285714285715)</f>
        <v>1.310828571</v>
      </c>
      <c r="C451" s="21">
        <f>IFERROR(__xludf.DUMMYFUNCTION("""COMPUTED_VALUE"""),0.9152)</f>
        <v>0.9152</v>
      </c>
      <c r="D451" s="21">
        <f>IFERROR(__xludf.DUMMYFUNCTION("""COMPUTED_VALUE"""),1.6275)</f>
        <v>1.6275</v>
      </c>
      <c r="E451" s="20">
        <f>IFERROR(__xludf.DUMMYFUNCTION("""COMPUTED_VALUE"""),0.4727107142857143)</f>
        <v>0.4727107143</v>
      </c>
      <c r="F451" s="20">
        <f>IFERROR(__xludf.DUMMYFUNCTION("""COMPUTED_VALUE"""),0.4972431392857142)</f>
        <v>0.4972431393</v>
      </c>
      <c r="G451" s="20">
        <f>IFERROR(__xludf.DUMMYFUNCTION("""COMPUTED_VALUE"""),0.498408)</f>
        <v>0.498408</v>
      </c>
      <c r="H451" s="23"/>
      <c r="J451" s="22"/>
    </row>
    <row r="452">
      <c r="A452" s="19">
        <f>IFERROR(__xludf.DUMMYFUNCTION("""COMPUTED_VALUE"""),45012.0)</f>
        <v>45012</v>
      </c>
      <c r="B452" s="20">
        <f>IFERROR(__xludf.DUMMYFUNCTION("""COMPUTED_VALUE"""),1.0716999999999999)</f>
        <v>1.0717</v>
      </c>
      <c r="C452" s="21">
        <f>IFERROR(__xludf.DUMMYFUNCTION("""COMPUTED_VALUE"""),0.8151999999999999)</f>
        <v>0.8152</v>
      </c>
      <c r="D452" s="21">
        <f>IFERROR(__xludf.DUMMYFUNCTION("""COMPUTED_VALUE"""),1.75895)</f>
        <v>1.75895</v>
      </c>
      <c r="E452" s="20">
        <f>IFERROR(__xludf.DUMMYFUNCTION("""COMPUTED_VALUE"""),0.47080000000000005)</f>
        <v>0.4708</v>
      </c>
      <c r="F452" s="20">
        <f>IFERROR(__xludf.DUMMYFUNCTION("""COMPUTED_VALUE"""),0.5010607464285713)</f>
        <v>0.5010607464</v>
      </c>
      <c r="G452" s="20">
        <f>IFERROR(__xludf.DUMMYFUNCTION("""COMPUTED_VALUE"""),0.498408)</f>
        <v>0.498408</v>
      </c>
      <c r="H452" s="23"/>
      <c r="J452" s="22"/>
    </row>
    <row r="453">
      <c r="A453" s="19">
        <f>IFERROR(__xludf.DUMMYFUNCTION("""COMPUTED_VALUE"""),45013.0)</f>
        <v>45013</v>
      </c>
      <c r="B453" s="20">
        <f>IFERROR(__xludf.DUMMYFUNCTION("""COMPUTED_VALUE"""),1.0716999999999999)</f>
        <v>1.0717</v>
      </c>
      <c r="C453" s="21">
        <f>IFERROR(__xludf.DUMMYFUNCTION("""COMPUTED_VALUE"""),0.8151999999999999)</f>
        <v>0.8152</v>
      </c>
      <c r="D453" s="21">
        <f>IFERROR(__xludf.DUMMYFUNCTION("""COMPUTED_VALUE"""),1.75895)</f>
        <v>1.75895</v>
      </c>
      <c r="E453" s="20">
        <f>IFERROR(__xludf.DUMMYFUNCTION("""COMPUTED_VALUE"""),0.47508000000000006)</f>
        <v>0.47508</v>
      </c>
      <c r="F453" s="20">
        <f>IFERROR(__xludf.DUMMYFUNCTION("""COMPUTED_VALUE"""),0.5020829785714286)</f>
        <v>0.5020829786</v>
      </c>
      <c r="G453" s="20">
        <f>IFERROR(__xludf.DUMMYFUNCTION("""COMPUTED_VALUE"""),0.498408)</f>
        <v>0.498408</v>
      </c>
      <c r="H453" s="23"/>
      <c r="J453" s="22"/>
    </row>
    <row r="454">
      <c r="A454" s="19">
        <f>IFERROR(__xludf.DUMMYFUNCTION("""COMPUTED_VALUE"""),45014.0)</f>
        <v>45014</v>
      </c>
      <c r="B454" s="20">
        <f>IFERROR(__xludf.DUMMYFUNCTION("""COMPUTED_VALUE"""),1.0716999999999999)</f>
        <v>1.0717</v>
      </c>
      <c r="C454" s="21">
        <f>IFERROR(__xludf.DUMMYFUNCTION("""COMPUTED_VALUE"""),0.8151999999999999)</f>
        <v>0.8152</v>
      </c>
      <c r="D454" s="21">
        <f>IFERROR(__xludf.DUMMYFUNCTION("""COMPUTED_VALUE"""),1.75895)</f>
        <v>1.75895</v>
      </c>
      <c r="E454" s="20">
        <f>IFERROR(__xludf.DUMMYFUNCTION("""COMPUTED_VALUE"""),0.4766085714285713)</f>
        <v>0.4766085714</v>
      </c>
      <c r="F454" s="20">
        <f>IFERROR(__xludf.DUMMYFUNCTION("""COMPUTED_VALUE"""),0.5059112857142857)</f>
        <v>0.5059112857</v>
      </c>
      <c r="G454" s="20">
        <f>IFERROR(__xludf.DUMMYFUNCTION("""COMPUTED_VALUE"""),0.498408)</f>
        <v>0.498408</v>
      </c>
      <c r="H454" s="23"/>
      <c r="J454" s="22"/>
    </row>
    <row r="455">
      <c r="A455" s="19">
        <f>IFERROR(__xludf.DUMMYFUNCTION("""COMPUTED_VALUE"""),45015.0)</f>
        <v>45015</v>
      </c>
      <c r="B455" s="20">
        <f>IFERROR(__xludf.DUMMYFUNCTION("""COMPUTED_VALUE"""),1.0716999999999999)</f>
        <v>1.0717</v>
      </c>
      <c r="C455" s="21">
        <f>IFERROR(__xludf.DUMMYFUNCTION("""COMPUTED_VALUE"""),0.8151999999999999)</f>
        <v>0.8152</v>
      </c>
      <c r="D455" s="21">
        <f>IFERROR(__xludf.DUMMYFUNCTION("""COMPUTED_VALUE"""),1.75895)</f>
        <v>1.75895</v>
      </c>
      <c r="E455" s="20">
        <f>IFERROR(__xludf.DUMMYFUNCTION("""COMPUTED_VALUE"""),0.4790542857142856)</f>
        <v>0.4790542857</v>
      </c>
      <c r="F455" s="20">
        <f>IFERROR(__xludf.DUMMYFUNCTION("""COMPUTED_VALUE"""),0.5078877285714286)</f>
        <v>0.5078877286</v>
      </c>
      <c r="G455" s="20">
        <f>IFERROR(__xludf.DUMMYFUNCTION("""COMPUTED_VALUE"""),0.498408)</f>
        <v>0.498408</v>
      </c>
      <c r="H455" s="23"/>
      <c r="J455" s="22"/>
    </row>
    <row r="456">
      <c r="A456" s="19">
        <f>IFERROR(__xludf.DUMMYFUNCTION("""COMPUTED_VALUE"""),45016.0)</f>
        <v>45016</v>
      </c>
      <c r="B456" s="20">
        <f>IFERROR(__xludf.DUMMYFUNCTION("""COMPUTED_VALUE"""),1.0716999999999999)</f>
        <v>1.0717</v>
      </c>
      <c r="C456" s="21">
        <f>IFERROR(__xludf.DUMMYFUNCTION("""COMPUTED_VALUE"""),0.8151999999999999)</f>
        <v>0.8152</v>
      </c>
      <c r="D456" s="21">
        <f>IFERROR(__xludf.DUMMYFUNCTION("""COMPUTED_VALUE"""),1.75895)</f>
        <v>1.75895</v>
      </c>
      <c r="E456" s="20">
        <f>IFERROR(__xludf.DUMMYFUNCTION("""COMPUTED_VALUE"""),0.4749271428571428)</f>
        <v>0.4749271429</v>
      </c>
      <c r="F456" s="20">
        <f>IFERROR(__xludf.DUMMYFUNCTION("""COMPUTED_VALUE"""),0.5170595392857144)</f>
        <v>0.5170595393</v>
      </c>
      <c r="G456" s="20">
        <f>IFERROR(__xludf.DUMMYFUNCTION("""COMPUTED_VALUE"""),0.498408)</f>
        <v>0.498408</v>
      </c>
      <c r="H456" s="23"/>
      <c r="J456" s="22"/>
    </row>
    <row r="457">
      <c r="A457" s="19">
        <f>IFERROR(__xludf.DUMMYFUNCTION("""COMPUTED_VALUE"""),45017.0)</f>
        <v>45017</v>
      </c>
      <c r="B457" s="20">
        <f>IFERROR(__xludf.DUMMYFUNCTION("""COMPUTED_VALUE"""),1.0716999999999999)</f>
        <v>1.0717</v>
      </c>
      <c r="C457" s="21">
        <f>IFERROR(__xludf.DUMMYFUNCTION("""COMPUTED_VALUE"""),0.8151999999999999)</f>
        <v>0.8152</v>
      </c>
      <c r="D457" s="21">
        <f>IFERROR(__xludf.DUMMYFUNCTION("""COMPUTED_VALUE"""),1.75895)</f>
        <v>1.75895</v>
      </c>
      <c r="E457" s="20">
        <f>IFERROR(__xludf.DUMMYFUNCTION("""COMPUTED_VALUE"""),0.48020071428571426)</f>
        <v>0.4802007143</v>
      </c>
      <c r="F457" s="20">
        <f>IFERROR(__xludf.DUMMYFUNCTION("""COMPUTED_VALUE"""),0.52623135)</f>
        <v>0.52623135</v>
      </c>
      <c r="G457" s="20">
        <f>IFERROR(__xludf.DUMMYFUNCTION("""COMPUTED_VALUE"""),0.479)</f>
        <v>0.479</v>
      </c>
      <c r="H457" s="23"/>
      <c r="J457" s="22"/>
    </row>
    <row r="458">
      <c r="A458" s="19">
        <f>IFERROR(__xludf.DUMMYFUNCTION("""COMPUTED_VALUE"""),45018.0)</f>
        <v>45018</v>
      </c>
      <c r="B458" s="20">
        <f>IFERROR(__xludf.DUMMYFUNCTION("""COMPUTED_VALUE"""),1.0716999999999999)</f>
        <v>1.0717</v>
      </c>
      <c r="C458" s="21">
        <f>IFERROR(__xludf.DUMMYFUNCTION("""COMPUTED_VALUE"""),0.8151999999999999)</f>
        <v>0.8152</v>
      </c>
      <c r="D458" s="21">
        <f>IFERROR(__xludf.DUMMYFUNCTION("""COMPUTED_VALUE"""),1.75895)</f>
        <v>1.75895</v>
      </c>
      <c r="E458" s="20">
        <f>IFERROR(__xludf.DUMMYFUNCTION("""COMPUTED_VALUE"""),0.4854742857142857)</f>
        <v>0.4854742857</v>
      </c>
      <c r="F458" s="20">
        <f>IFERROR(__xludf.DUMMYFUNCTION("""COMPUTED_VALUE"""),0.5354031607142857)</f>
        <v>0.5354031607</v>
      </c>
      <c r="G458" s="20">
        <f>IFERROR(__xludf.DUMMYFUNCTION("""COMPUTED_VALUE"""),0.479)</f>
        <v>0.479</v>
      </c>
      <c r="H458" s="23"/>
      <c r="J458" s="22"/>
    </row>
    <row r="459">
      <c r="A459" s="19">
        <f>IFERROR(__xludf.DUMMYFUNCTION("""COMPUTED_VALUE"""),45019.0)</f>
        <v>45019</v>
      </c>
      <c r="B459" s="20">
        <f>IFERROR(__xludf.DUMMYFUNCTION("""COMPUTED_VALUE"""),1.0716999999999999)</f>
        <v>1.0717</v>
      </c>
      <c r="C459" s="21">
        <f>IFERROR(__xludf.DUMMYFUNCTION("""COMPUTED_VALUE"""),0.8151999999999999)</f>
        <v>0.8152</v>
      </c>
      <c r="D459" s="21">
        <f>IFERROR(__xludf.DUMMYFUNCTION("""COMPUTED_VALUE"""),1.75895)</f>
        <v>1.75895</v>
      </c>
      <c r="E459" s="20">
        <f>IFERROR(__xludf.DUMMYFUNCTION("""COMPUTED_VALUE"""),0.49219999999999997)</f>
        <v>0.4922</v>
      </c>
      <c r="F459" s="20">
        <f>IFERROR(__xludf.DUMMYFUNCTION("""COMPUTED_VALUE"""),0.5481254607142857)</f>
        <v>0.5481254607</v>
      </c>
      <c r="G459" s="20">
        <f>IFERROR(__xludf.DUMMYFUNCTION("""COMPUTED_VALUE"""),0.479)</f>
        <v>0.479</v>
      </c>
      <c r="H459" s="23"/>
      <c r="J459" s="22"/>
    </row>
    <row r="460">
      <c r="A460" s="19">
        <f>IFERROR(__xludf.DUMMYFUNCTION("""COMPUTED_VALUE"""),45020.0)</f>
        <v>45020</v>
      </c>
      <c r="B460" s="20">
        <f>IFERROR(__xludf.DUMMYFUNCTION("""COMPUTED_VALUE"""),1.0716999999999999)</f>
        <v>1.0717</v>
      </c>
      <c r="C460" s="21">
        <f>IFERROR(__xludf.DUMMYFUNCTION("""COMPUTED_VALUE"""),0.8151999999999999)</f>
        <v>0.8152</v>
      </c>
      <c r="D460" s="21">
        <f>IFERROR(__xludf.DUMMYFUNCTION("""COMPUTED_VALUE"""),1.75895)</f>
        <v>1.75895</v>
      </c>
      <c r="E460" s="20">
        <f>IFERROR(__xludf.DUMMYFUNCTION("""COMPUTED_VALUE"""),0.5019828571428572)</f>
        <v>0.5019828571</v>
      </c>
      <c r="F460" s="20">
        <f>IFERROR(__xludf.DUMMYFUNCTION("""COMPUTED_VALUE"""),0.5562784785714286)</f>
        <v>0.5562784786</v>
      </c>
      <c r="G460" s="20">
        <f>IFERROR(__xludf.DUMMYFUNCTION("""COMPUTED_VALUE"""),0.479)</f>
        <v>0.479</v>
      </c>
      <c r="H460" s="23"/>
      <c r="J460" s="22"/>
    </row>
    <row r="461">
      <c r="A461" s="19">
        <f>IFERROR(__xludf.DUMMYFUNCTION("""COMPUTED_VALUE"""),45021.0)</f>
        <v>45021</v>
      </c>
      <c r="B461" s="20">
        <f>IFERROR(__xludf.DUMMYFUNCTION("""COMPUTED_VALUE"""),1.0716999999999999)</f>
        <v>1.0717</v>
      </c>
      <c r="C461" s="21">
        <f>IFERROR(__xludf.DUMMYFUNCTION("""COMPUTED_VALUE"""),0.8151999999999999)</f>
        <v>0.8152</v>
      </c>
      <c r="D461" s="21">
        <f>IFERROR(__xludf.DUMMYFUNCTION("""COMPUTED_VALUE"""),1.75895)</f>
        <v>1.75895</v>
      </c>
      <c r="E461" s="20">
        <f>IFERROR(__xludf.DUMMYFUNCTION("""COMPUTED_VALUE"""),0.5091671428571428)</f>
        <v>0.5091671429</v>
      </c>
      <c r="F461" s="20">
        <f>IFERROR(__xludf.DUMMYFUNCTION("""COMPUTED_VALUE"""),0.5614026321428571)</f>
        <v>0.5614026321</v>
      </c>
      <c r="G461" s="20">
        <f>IFERROR(__xludf.DUMMYFUNCTION("""COMPUTED_VALUE"""),0.479)</f>
        <v>0.479</v>
      </c>
      <c r="H461" s="23"/>
      <c r="J461" s="22"/>
    </row>
    <row r="462">
      <c r="A462" s="19">
        <f>IFERROR(__xludf.DUMMYFUNCTION("""COMPUTED_VALUE"""),45022.0)</f>
        <v>45022</v>
      </c>
      <c r="B462" s="20">
        <f>IFERROR(__xludf.DUMMYFUNCTION("""COMPUTED_VALUE"""),1.0716999999999999)</f>
        <v>1.0717</v>
      </c>
      <c r="C462" s="21">
        <f>IFERROR(__xludf.DUMMYFUNCTION("""COMPUTED_VALUE"""),0.8151999999999999)</f>
        <v>0.8152</v>
      </c>
      <c r="D462" s="21">
        <f>IFERROR(__xludf.DUMMYFUNCTION("""COMPUTED_VALUE"""),1.75895)</f>
        <v>1.75895</v>
      </c>
      <c r="E462" s="20">
        <f>IFERROR(__xludf.DUMMYFUNCTION("""COMPUTED_VALUE"""),0.5168100000000001)</f>
        <v>0.51681</v>
      </c>
      <c r="F462" s="20">
        <f>IFERROR(__xludf.DUMMYFUNCTION("""COMPUTED_VALUE"""),0.5626151714285713)</f>
        <v>0.5626151714</v>
      </c>
      <c r="G462" s="20">
        <f>IFERROR(__xludf.DUMMYFUNCTION("""COMPUTED_VALUE"""),0.479)</f>
        <v>0.479</v>
      </c>
      <c r="H462" s="23"/>
      <c r="J462" s="22"/>
    </row>
    <row r="463">
      <c r="A463" s="19">
        <f>IFERROR(__xludf.DUMMYFUNCTION("""COMPUTED_VALUE"""),45023.0)</f>
        <v>45023</v>
      </c>
      <c r="B463" s="20">
        <f>IFERROR(__xludf.DUMMYFUNCTION("""COMPUTED_VALUE"""),1.0716999999999999)</f>
        <v>1.0717</v>
      </c>
      <c r="C463" s="21">
        <f>IFERROR(__xludf.DUMMYFUNCTION("""COMPUTED_VALUE"""),0.8151999999999999)</f>
        <v>0.8152</v>
      </c>
      <c r="D463" s="21">
        <f>IFERROR(__xludf.DUMMYFUNCTION("""COMPUTED_VALUE"""),1.75895)</f>
        <v>1.75895</v>
      </c>
      <c r="E463" s="20">
        <f>IFERROR(__xludf.DUMMYFUNCTION("""COMPUTED_VALUE"""),0.5226185714285714)</f>
        <v>0.5226185714</v>
      </c>
      <c r="F463" s="20">
        <f>IFERROR(__xludf.DUMMYFUNCTION("""COMPUTED_VALUE"""),0.5586019071428571)</f>
        <v>0.5586019071</v>
      </c>
      <c r="G463" s="20">
        <f>IFERROR(__xludf.DUMMYFUNCTION("""COMPUTED_VALUE"""),0.479)</f>
        <v>0.479</v>
      </c>
      <c r="H463" s="23"/>
      <c r="J463" s="22"/>
    </row>
    <row r="464">
      <c r="A464" s="19">
        <f>IFERROR(__xludf.DUMMYFUNCTION("""COMPUTED_VALUE"""),45024.0)</f>
        <v>45024</v>
      </c>
      <c r="B464" s="20">
        <f>IFERROR(__xludf.DUMMYFUNCTION("""COMPUTED_VALUE"""),1.0716999999999999)</f>
        <v>1.0717</v>
      </c>
      <c r="C464" s="21">
        <f>IFERROR(__xludf.DUMMYFUNCTION("""COMPUTED_VALUE"""),0.8151999999999999)</f>
        <v>0.8152</v>
      </c>
      <c r="D464" s="21">
        <f>IFERROR(__xludf.DUMMYFUNCTION("""COMPUTED_VALUE"""),1.75895)</f>
        <v>1.75895</v>
      </c>
      <c r="E464" s="20">
        <f>IFERROR(__xludf.DUMMYFUNCTION("""COMPUTED_VALUE"""),0.5186442857142857)</f>
        <v>0.5186442857</v>
      </c>
      <c r="F464" s="20">
        <f>IFERROR(__xludf.DUMMYFUNCTION("""COMPUTED_VALUE"""),0.5545886428571428)</f>
        <v>0.5545886429</v>
      </c>
      <c r="G464" s="20">
        <f>IFERROR(__xludf.DUMMYFUNCTION("""COMPUTED_VALUE"""),0.479)</f>
        <v>0.479</v>
      </c>
      <c r="H464" s="23"/>
      <c r="J464" s="22"/>
    </row>
    <row r="465">
      <c r="A465" s="19">
        <f>IFERROR(__xludf.DUMMYFUNCTION("""COMPUTED_VALUE"""),45025.0)</f>
        <v>45025</v>
      </c>
      <c r="B465" s="20">
        <f>IFERROR(__xludf.DUMMYFUNCTION("""COMPUTED_VALUE"""),1.0716999999999999)</f>
        <v>1.0717</v>
      </c>
      <c r="C465" s="21">
        <f>IFERROR(__xludf.DUMMYFUNCTION("""COMPUTED_VALUE"""),0.8151999999999999)</f>
        <v>0.8152</v>
      </c>
      <c r="D465" s="21">
        <f>IFERROR(__xludf.DUMMYFUNCTION("""COMPUTED_VALUE"""),1.75895)</f>
        <v>1.75895</v>
      </c>
      <c r="E465" s="20">
        <f>IFERROR(__xludf.DUMMYFUNCTION("""COMPUTED_VALUE"""),0.51467)</f>
        <v>0.51467</v>
      </c>
      <c r="F465" s="20">
        <f>IFERROR(__xludf.DUMMYFUNCTION("""COMPUTED_VALUE"""),0.5505753785714285)</f>
        <v>0.5505753786</v>
      </c>
      <c r="G465" s="20">
        <f>IFERROR(__xludf.DUMMYFUNCTION("""COMPUTED_VALUE"""),0.479)</f>
        <v>0.479</v>
      </c>
      <c r="H465" s="23"/>
      <c r="J465" s="22"/>
    </row>
    <row r="466">
      <c r="A466" s="19">
        <f>IFERROR(__xludf.DUMMYFUNCTION("""COMPUTED_VALUE"""),45026.0)</f>
        <v>45026</v>
      </c>
      <c r="B466" s="20">
        <f>IFERROR(__xludf.DUMMYFUNCTION("""COMPUTED_VALUE"""),1.0184846153846154)</f>
        <v>1.018484615</v>
      </c>
      <c r="C466" s="21">
        <f>IFERROR(__xludf.DUMMYFUNCTION("""COMPUTED_VALUE"""),0.7702)</f>
        <v>0.7702</v>
      </c>
      <c r="D466" s="21">
        <f>IFERROR(__xludf.DUMMYFUNCTION("""COMPUTED_VALUE"""),1.7304)</f>
        <v>1.7304</v>
      </c>
      <c r="E466" s="20">
        <f>IFERROR(__xludf.DUMMYFUNCTION("""COMPUTED_VALUE"""),0.5068742857142856)</f>
        <v>0.5068742857</v>
      </c>
      <c r="F466" s="20">
        <f>IFERROR(__xludf.DUMMYFUNCTION("""COMPUTED_VALUE"""),0.5418950035714285)</f>
        <v>0.5418950036</v>
      </c>
      <c r="G466" s="20">
        <f>IFERROR(__xludf.DUMMYFUNCTION("""COMPUTED_VALUE"""),0.479)</f>
        <v>0.479</v>
      </c>
      <c r="H466" s="23"/>
      <c r="J466" s="22"/>
    </row>
    <row r="467">
      <c r="A467" s="19">
        <f>IFERROR(__xludf.DUMMYFUNCTION("""COMPUTED_VALUE"""),45027.0)</f>
        <v>45027</v>
      </c>
      <c r="B467" s="20">
        <f>IFERROR(__xludf.DUMMYFUNCTION("""COMPUTED_VALUE"""),1.0184846153846154)</f>
        <v>1.018484615</v>
      </c>
      <c r="C467" s="21">
        <f>IFERROR(__xludf.DUMMYFUNCTION("""COMPUTED_VALUE"""),0.7702)</f>
        <v>0.7702</v>
      </c>
      <c r="D467" s="21">
        <f>IFERROR(__xludf.DUMMYFUNCTION("""COMPUTED_VALUE"""),1.7304)</f>
        <v>1.7304</v>
      </c>
      <c r="E467" s="20">
        <f>IFERROR(__xludf.DUMMYFUNCTION("""COMPUTED_VALUE"""),0.4980085714285714)</f>
        <v>0.4980085714</v>
      </c>
      <c r="F467" s="20">
        <f>IFERROR(__xludf.DUMMYFUNCTION("""COMPUTED_VALUE"""),0.5386292107142856)</f>
        <v>0.5386292107</v>
      </c>
      <c r="G467" s="20">
        <f>IFERROR(__xludf.DUMMYFUNCTION("""COMPUTED_VALUE"""),0.479)</f>
        <v>0.479</v>
      </c>
      <c r="H467" s="23"/>
      <c r="J467" s="22"/>
    </row>
    <row r="468">
      <c r="A468" s="19">
        <f>IFERROR(__xludf.DUMMYFUNCTION("""COMPUTED_VALUE"""),45028.0)</f>
        <v>45028</v>
      </c>
      <c r="B468" s="20">
        <f>IFERROR(__xludf.DUMMYFUNCTION("""COMPUTED_VALUE"""),1.0184846153846154)</f>
        <v>1.018484615</v>
      </c>
      <c r="C468" s="21">
        <f>IFERROR(__xludf.DUMMYFUNCTION("""COMPUTED_VALUE"""),0.7702)</f>
        <v>0.7702</v>
      </c>
      <c r="D468" s="21">
        <f>IFERROR(__xludf.DUMMYFUNCTION("""COMPUTED_VALUE"""),1.7304)</f>
        <v>1.7304</v>
      </c>
      <c r="E468" s="20">
        <f>IFERROR(__xludf.DUMMYFUNCTION("""COMPUTED_VALUE"""),0.4935757142857143)</f>
        <v>0.4935757143</v>
      </c>
      <c r="F468" s="20">
        <f>IFERROR(__xludf.DUMMYFUNCTION("""COMPUTED_VALUE"""),0.5388584964285714)</f>
        <v>0.5388584964</v>
      </c>
      <c r="G468" s="20">
        <f>IFERROR(__xludf.DUMMYFUNCTION("""COMPUTED_VALUE"""),0.479)</f>
        <v>0.479</v>
      </c>
      <c r="H468" s="23"/>
      <c r="J468" s="22"/>
    </row>
    <row r="469">
      <c r="A469" s="19">
        <f>IFERROR(__xludf.DUMMYFUNCTION("""COMPUTED_VALUE"""),45029.0)</f>
        <v>45029</v>
      </c>
      <c r="B469" s="20">
        <f>IFERROR(__xludf.DUMMYFUNCTION("""COMPUTED_VALUE"""),1.0184846153846154)</f>
        <v>1.018484615</v>
      </c>
      <c r="C469" s="21">
        <f>IFERROR(__xludf.DUMMYFUNCTION("""COMPUTED_VALUE"""),0.7702)</f>
        <v>0.7702</v>
      </c>
      <c r="D469" s="21">
        <f>IFERROR(__xludf.DUMMYFUNCTION("""COMPUTED_VALUE"""),1.7304)</f>
        <v>1.7304</v>
      </c>
      <c r="E469" s="20">
        <f>IFERROR(__xludf.DUMMYFUNCTION("""COMPUTED_VALUE"""),0.4909007142857142)</f>
        <v>0.4909007143</v>
      </c>
      <c r="F469" s="20">
        <f>IFERROR(__xludf.DUMMYFUNCTION("""COMPUTED_VALUE"""),0.5399391964285715)</f>
        <v>0.5399391964</v>
      </c>
      <c r="G469" s="20">
        <f>IFERROR(__xludf.DUMMYFUNCTION("""COMPUTED_VALUE"""),0.479)</f>
        <v>0.479</v>
      </c>
      <c r="H469" s="23"/>
      <c r="J469" s="22"/>
    </row>
    <row r="470">
      <c r="A470" s="19">
        <f>IFERROR(__xludf.DUMMYFUNCTION("""COMPUTED_VALUE"""),45030.0)</f>
        <v>45030</v>
      </c>
      <c r="B470" s="20">
        <f>IFERROR(__xludf.DUMMYFUNCTION("""COMPUTED_VALUE"""),1.0184846153846154)</f>
        <v>1.018484615</v>
      </c>
      <c r="C470" s="21">
        <f>IFERROR(__xludf.DUMMYFUNCTION("""COMPUTED_VALUE"""),0.7702)</f>
        <v>0.7702</v>
      </c>
      <c r="D470" s="21">
        <f>IFERROR(__xludf.DUMMYFUNCTION("""COMPUTED_VALUE"""),1.7304)</f>
        <v>1.7304</v>
      </c>
      <c r="E470" s="20">
        <f>IFERROR(__xludf.DUMMYFUNCTION("""COMPUTED_VALUE"""),0.49067142857142854)</f>
        <v>0.4906714286</v>
      </c>
      <c r="F470" s="20">
        <f>IFERROR(__xludf.DUMMYFUNCTION("""COMPUTED_VALUE"""),0.5444549785714285)</f>
        <v>0.5444549786</v>
      </c>
      <c r="G470" s="20">
        <f>IFERROR(__xludf.DUMMYFUNCTION("""COMPUTED_VALUE"""),0.479)</f>
        <v>0.479</v>
      </c>
      <c r="H470" s="23"/>
      <c r="J470" s="22"/>
    </row>
    <row r="471">
      <c r="A471" s="19">
        <f>IFERROR(__xludf.DUMMYFUNCTION("""COMPUTED_VALUE"""),45031.0)</f>
        <v>45031</v>
      </c>
      <c r="B471" s="20">
        <f>IFERROR(__xludf.DUMMYFUNCTION("""COMPUTED_VALUE"""),1.0184846153846154)</f>
        <v>1.018484615</v>
      </c>
      <c r="C471" s="21">
        <f>IFERROR(__xludf.DUMMYFUNCTION("""COMPUTED_VALUE"""),0.7702)</f>
        <v>0.7702</v>
      </c>
      <c r="D471" s="21">
        <f>IFERROR(__xludf.DUMMYFUNCTION("""COMPUTED_VALUE"""),1.7304)</f>
        <v>1.7304</v>
      </c>
      <c r="E471" s="20">
        <f>IFERROR(__xludf.DUMMYFUNCTION("""COMPUTED_VALUE"""),0.4923528571428571)</f>
        <v>0.4923528571</v>
      </c>
      <c r="F471" s="20">
        <f>IFERROR(__xludf.DUMMYFUNCTION("""COMPUTED_VALUE"""),0.5489707607142857)</f>
        <v>0.5489707607</v>
      </c>
      <c r="G471" s="20">
        <f>IFERROR(__xludf.DUMMYFUNCTION("""COMPUTED_VALUE"""),0.479)</f>
        <v>0.479</v>
      </c>
      <c r="H471" s="23"/>
      <c r="J471" s="22"/>
    </row>
    <row r="472">
      <c r="A472" s="19">
        <f>IFERROR(__xludf.DUMMYFUNCTION("""COMPUTED_VALUE"""),45032.0)</f>
        <v>45032</v>
      </c>
      <c r="B472" s="20">
        <f>IFERROR(__xludf.DUMMYFUNCTION("""COMPUTED_VALUE"""),1.0184846153846154)</f>
        <v>1.018484615</v>
      </c>
      <c r="C472" s="21">
        <f>IFERROR(__xludf.DUMMYFUNCTION("""COMPUTED_VALUE"""),0.7702)</f>
        <v>0.7702</v>
      </c>
      <c r="D472" s="21">
        <f>IFERROR(__xludf.DUMMYFUNCTION("""COMPUTED_VALUE"""),1.7304)</f>
        <v>1.7304</v>
      </c>
      <c r="E472" s="20">
        <f>IFERROR(__xludf.DUMMYFUNCTION("""COMPUTED_VALUE"""),0.4940342857142857)</f>
        <v>0.4940342857</v>
      </c>
      <c r="F472" s="20">
        <f>IFERROR(__xludf.DUMMYFUNCTION("""COMPUTED_VALUE"""),0.5534865428571429)</f>
        <v>0.5534865429</v>
      </c>
      <c r="G472" s="20">
        <f>IFERROR(__xludf.DUMMYFUNCTION("""COMPUTED_VALUE"""),0.479)</f>
        <v>0.479</v>
      </c>
      <c r="H472" s="23"/>
      <c r="J472" s="22"/>
    </row>
    <row r="473">
      <c r="A473" s="19">
        <f>IFERROR(__xludf.DUMMYFUNCTION("""COMPUTED_VALUE"""),45033.0)</f>
        <v>45033</v>
      </c>
      <c r="B473" s="20">
        <f>IFERROR(__xludf.DUMMYFUNCTION("""COMPUTED_VALUE"""),1.0184846153846154)</f>
        <v>1.018484615</v>
      </c>
      <c r="C473" s="21">
        <f>IFERROR(__xludf.DUMMYFUNCTION("""COMPUTED_VALUE"""),0.7702)</f>
        <v>0.7702</v>
      </c>
      <c r="D473" s="21">
        <f>IFERROR(__xludf.DUMMYFUNCTION("""COMPUTED_VALUE"""),1.7304)</f>
        <v>1.7304</v>
      </c>
      <c r="E473" s="20">
        <f>IFERROR(__xludf.DUMMYFUNCTION("""COMPUTED_VALUE"""),0.49862)</f>
        <v>0.49862</v>
      </c>
      <c r="F473" s="20">
        <f>IFERROR(__xludf.DUMMYFUNCTION("""COMPUTED_VALUE"""),0.5579729000000001)</f>
        <v>0.5579729</v>
      </c>
      <c r="G473" s="20">
        <f>IFERROR(__xludf.DUMMYFUNCTION("""COMPUTED_VALUE"""),0.479)</f>
        <v>0.479</v>
      </c>
      <c r="H473" s="23"/>
      <c r="J473" s="22"/>
    </row>
    <row r="474">
      <c r="A474" s="19">
        <f>IFERROR(__xludf.DUMMYFUNCTION("""COMPUTED_VALUE"""),45034.0)</f>
        <v>45034</v>
      </c>
      <c r="B474" s="20">
        <f>IFERROR(__xludf.DUMMYFUNCTION("""COMPUTED_VALUE"""),1.0184846153846154)</f>
        <v>1.018484615</v>
      </c>
      <c r="C474" s="21">
        <f>IFERROR(__xludf.DUMMYFUNCTION("""COMPUTED_VALUE"""),0.7702)</f>
        <v>0.7702</v>
      </c>
      <c r="D474" s="21">
        <f>IFERROR(__xludf.DUMMYFUNCTION("""COMPUTED_VALUE"""),1.7304)</f>
        <v>1.7304</v>
      </c>
      <c r="E474" s="20">
        <f>IFERROR(__xludf.DUMMYFUNCTION("""COMPUTED_VALUE"""),0.4990785714285715)</f>
        <v>0.4990785714</v>
      </c>
      <c r="F474" s="20">
        <f>IFERROR(__xludf.DUMMYFUNCTION("""COMPUTED_VALUE"""),0.5621692107142857)</f>
        <v>0.5621692107</v>
      </c>
      <c r="G474" s="20">
        <f>IFERROR(__xludf.DUMMYFUNCTION("""COMPUTED_VALUE"""),0.479)</f>
        <v>0.479</v>
      </c>
      <c r="H474" s="23"/>
      <c r="J474" s="22"/>
    </row>
    <row r="475">
      <c r="A475" s="19">
        <f>IFERROR(__xludf.DUMMYFUNCTION("""COMPUTED_VALUE"""),45035.0)</f>
        <v>45035</v>
      </c>
      <c r="B475" s="20">
        <f>IFERROR(__xludf.DUMMYFUNCTION("""COMPUTED_VALUE"""),1.0184846153846154)</f>
        <v>1.018484615</v>
      </c>
      <c r="C475" s="21">
        <f>IFERROR(__xludf.DUMMYFUNCTION("""COMPUTED_VALUE"""),0.7702)</f>
        <v>0.7702</v>
      </c>
      <c r="D475" s="21">
        <f>IFERROR(__xludf.DUMMYFUNCTION("""COMPUTED_VALUE"""),1.7304)</f>
        <v>1.7304</v>
      </c>
      <c r="E475" s="20">
        <f>IFERROR(__xludf.DUMMYFUNCTION("""COMPUTED_VALUE"""),0.4967857142857143)</f>
        <v>0.4967857143</v>
      </c>
      <c r="F475" s="20">
        <f>IFERROR(__xludf.DUMMYFUNCTION("""COMPUTED_VALUE"""),0.5637818535714284)</f>
        <v>0.5637818536</v>
      </c>
      <c r="G475" s="20">
        <f>IFERROR(__xludf.DUMMYFUNCTION("""COMPUTED_VALUE"""),0.479)</f>
        <v>0.479</v>
      </c>
      <c r="H475" s="23"/>
      <c r="J475" s="22"/>
    </row>
    <row r="476">
      <c r="A476" s="19">
        <f>IFERROR(__xludf.DUMMYFUNCTION("""COMPUTED_VALUE"""),45036.0)</f>
        <v>45036</v>
      </c>
      <c r="B476" s="20">
        <f>IFERROR(__xludf.DUMMYFUNCTION("""COMPUTED_VALUE"""),1.0184846153846154)</f>
        <v>1.018484615</v>
      </c>
      <c r="C476" s="21">
        <f>IFERROR(__xludf.DUMMYFUNCTION("""COMPUTED_VALUE"""),0.7702)</f>
        <v>0.7702</v>
      </c>
      <c r="D476" s="21">
        <f>IFERROR(__xludf.DUMMYFUNCTION("""COMPUTED_VALUE"""),1.7304)</f>
        <v>1.7304</v>
      </c>
      <c r="E476" s="20">
        <f>IFERROR(__xludf.DUMMYFUNCTION("""COMPUTED_VALUE"""),0.4931171428571428)</f>
        <v>0.4931171429</v>
      </c>
      <c r="F476" s="20">
        <f>IFERROR(__xludf.DUMMYFUNCTION("""COMPUTED_VALUE"""),0.5661308857142856)</f>
        <v>0.5661308857</v>
      </c>
      <c r="G476" s="20">
        <f>IFERROR(__xludf.DUMMYFUNCTION("""COMPUTED_VALUE"""),0.479)</f>
        <v>0.479</v>
      </c>
      <c r="H476" s="23"/>
      <c r="J476" s="22"/>
    </row>
    <row r="477">
      <c r="A477" s="19">
        <f>IFERROR(__xludf.DUMMYFUNCTION("""COMPUTED_VALUE"""),45037.0)</f>
        <v>45037</v>
      </c>
      <c r="B477" s="20">
        <f>IFERROR(__xludf.DUMMYFUNCTION("""COMPUTED_VALUE"""),1.0184846153846154)</f>
        <v>1.018484615</v>
      </c>
      <c r="C477" s="21">
        <f>IFERROR(__xludf.DUMMYFUNCTION("""COMPUTED_VALUE"""),0.7702)</f>
        <v>0.7702</v>
      </c>
      <c r="D477" s="21">
        <f>IFERROR(__xludf.DUMMYFUNCTION("""COMPUTED_VALUE"""),1.7304)</f>
        <v>1.7304</v>
      </c>
      <c r="E477" s="20">
        <f>IFERROR(__xludf.DUMMYFUNCTION("""COMPUTED_VALUE"""),0.49120642857142854)</f>
        <v>0.4912064286</v>
      </c>
      <c r="F477" s="20">
        <f>IFERROR(__xludf.DUMMYFUNCTION("""COMPUTED_VALUE"""),0.5644960785714286)</f>
        <v>0.5644960786</v>
      </c>
      <c r="G477" s="20">
        <f>IFERROR(__xludf.DUMMYFUNCTION("""COMPUTED_VALUE"""),0.479)</f>
        <v>0.479</v>
      </c>
      <c r="H477" s="23"/>
      <c r="J477" s="22"/>
    </row>
    <row r="478">
      <c r="A478" s="19">
        <f>IFERROR(__xludf.DUMMYFUNCTION("""COMPUTED_VALUE"""),45038.0)</f>
        <v>45038</v>
      </c>
      <c r="B478" s="20">
        <f>IFERROR(__xludf.DUMMYFUNCTION("""COMPUTED_VALUE"""),1.0184846153846154)</f>
        <v>1.018484615</v>
      </c>
      <c r="C478" s="21">
        <f>IFERROR(__xludf.DUMMYFUNCTION("""COMPUTED_VALUE"""),0.7702)</f>
        <v>0.7702</v>
      </c>
      <c r="D478" s="21">
        <f>IFERROR(__xludf.DUMMYFUNCTION("""COMPUTED_VALUE"""),1.7304)</f>
        <v>1.7304</v>
      </c>
      <c r="E478" s="20">
        <f>IFERROR(__xludf.DUMMYFUNCTION("""COMPUTED_VALUE"""),0.48730857142857137)</f>
        <v>0.4873085714</v>
      </c>
      <c r="F478" s="20">
        <f>IFERROR(__xludf.DUMMYFUNCTION("""COMPUTED_VALUE"""),0.5628612714285713)</f>
        <v>0.5628612714</v>
      </c>
      <c r="G478" s="20">
        <f>IFERROR(__xludf.DUMMYFUNCTION("""COMPUTED_VALUE"""),0.479)</f>
        <v>0.479</v>
      </c>
      <c r="H478" s="23"/>
      <c r="J478" s="22"/>
    </row>
    <row r="479">
      <c r="A479" s="19">
        <f>IFERROR(__xludf.DUMMYFUNCTION("""COMPUTED_VALUE"""),45039.0)</f>
        <v>45039</v>
      </c>
      <c r="B479" s="20">
        <f>IFERROR(__xludf.DUMMYFUNCTION("""COMPUTED_VALUE"""),1.0184846153846154)</f>
        <v>1.018484615</v>
      </c>
      <c r="C479" s="21">
        <f>IFERROR(__xludf.DUMMYFUNCTION("""COMPUTED_VALUE"""),0.7702)</f>
        <v>0.7702</v>
      </c>
      <c r="D479" s="21">
        <f>IFERROR(__xludf.DUMMYFUNCTION("""COMPUTED_VALUE"""),1.7304)</f>
        <v>1.7304</v>
      </c>
      <c r="E479" s="20">
        <f>IFERROR(__xludf.DUMMYFUNCTION("""COMPUTED_VALUE"""),0.4834107142857143)</f>
        <v>0.4834107143</v>
      </c>
      <c r="F479" s="20">
        <f>IFERROR(__xludf.DUMMYFUNCTION("""COMPUTED_VALUE"""),0.5612264642857142)</f>
        <v>0.5612264643</v>
      </c>
      <c r="G479" s="20">
        <f>IFERROR(__xludf.DUMMYFUNCTION("""COMPUTED_VALUE"""),0.479)</f>
        <v>0.479</v>
      </c>
      <c r="H479" s="23"/>
      <c r="J479" s="22"/>
    </row>
    <row r="480">
      <c r="A480" s="19">
        <f>IFERROR(__xludf.DUMMYFUNCTION("""COMPUTED_VALUE"""),45040.0)</f>
        <v>45040</v>
      </c>
      <c r="B480" s="20">
        <f>IFERROR(__xludf.DUMMYFUNCTION("""COMPUTED_VALUE"""),0.9584538461538462)</f>
        <v>0.9584538462</v>
      </c>
      <c r="C480" s="21">
        <f>IFERROR(__xludf.DUMMYFUNCTION("""COMPUTED_VALUE"""),0.7275)</f>
        <v>0.7275</v>
      </c>
      <c r="D480" s="21">
        <f>IFERROR(__xludf.DUMMYFUNCTION("""COMPUTED_VALUE"""),1.3803999999999998)</f>
        <v>1.3804</v>
      </c>
      <c r="E480" s="20">
        <f>IFERROR(__xludf.DUMMYFUNCTION("""COMPUTED_VALUE"""),0.47729642857142857)</f>
        <v>0.4772964286</v>
      </c>
      <c r="F480" s="20">
        <f>IFERROR(__xludf.DUMMYFUNCTION("""COMPUTED_VALUE"""),0.559120475)</f>
        <v>0.559120475</v>
      </c>
      <c r="G480" s="20">
        <f>IFERROR(__xludf.DUMMYFUNCTION("""COMPUTED_VALUE"""),0.479)</f>
        <v>0.479</v>
      </c>
      <c r="H480" s="23"/>
      <c r="J480" s="22"/>
    </row>
    <row r="481">
      <c r="A481" s="19">
        <f>IFERROR(__xludf.DUMMYFUNCTION("""COMPUTED_VALUE"""),45041.0)</f>
        <v>45041</v>
      </c>
      <c r="B481" s="20">
        <f>IFERROR(__xludf.DUMMYFUNCTION("""COMPUTED_VALUE"""),0.9584538461538462)</f>
        <v>0.9584538462</v>
      </c>
      <c r="C481" s="21">
        <f>IFERROR(__xludf.DUMMYFUNCTION("""COMPUTED_VALUE"""),0.7275)</f>
        <v>0.7275</v>
      </c>
      <c r="D481" s="21">
        <f>IFERROR(__xludf.DUMMYFUNCTION("""COMPUTED_VALUE"""),1.3803999999999998)</f>
        <v>1.3804</v>
      </c>
      <c r="E481" s="20">
        <f>IFERROR(__xludf.DUMMYFUNCTION("""COMPUTED_VALUE"""),0.46552642857142856)</f>
        <v>0.4655264286</v>
      </c>
      <c r="F481" s="20">
        <f>IFERROR(__xludf.DUMMYFUNCTION("""COMPUTED_VALUE"""),0.5562910892857141)</f>
        <v>0.5562910893</v>
      </c>
      <c r="G481" s="20">
        <f>IFERROR(__xludf.DUMMYFUNCTION("""COMPUTED_VALUE"""),0.479)</f>
        <v>0.479</v>
      </c>
      <c r="H481" s="23"/>
      <c r="J481" s="22"/>
    </row>
    <row r="482">
      <c r="A482" s="19">
        <f>IFERROR(__xludf.DUMMYFUNCTION("""COMPUTED_VALUE"""),45042.0)</f>
        <v>45042</v>
      </c>
      <c r="B482" s="20">
        <f>IFERROR(__xludf.DUMMYFUNCTION("""COMPUTED_VALUE"""),0.9584538461538462)</f>
        <v>0.9584538462</v>
      </c>
      <c r="C482" s="21">
        <f>IFERROR(__xludf.DUMMYFUNCTION("""COMPUTED_VALUE"""),0.7275)</f>
        <v>0.7275</v>
      </c>
      <c r="D482" s="21">
        <f>IFERROR(__xludf.DUMMYFUNCTION("""COMPUTED_VALUE"""),1.3803999999999998)</f>
        <v>1.3804</v>
      </c>
      <c r="E482" s="20">
        <f>IFERROR(__xludf.DUMMYFUNCTION("""COMPUTED_VALUE"""),0.4549792857142857)</f>
        <v>0.4549792857</v>
      </c>
      <c r="F482" s="20">
        <f>IFERROR(__xludf.DUMMYFUNCTION("""COMPUTED_VALUE"""),0.5554075749999999)</f>
        <v>0.555407575</v>
      </c>
      <c r="G482" s="20">
        <f>IFERROR(__xludf.DUMMYFUNCTION("""COMPUTED_VALUE"""),0.479)</f>
        <v>0.479</v>
      </c>
      <c r="H482" s="23"/>
      <c r="J482" s="22"/>
    </row>
    <row r="483">
      <c r="A483" s="19">
        <f>IFERROR(__xludf.DUMMYFUNCTION("""COMPUTED_VALUE"""),45043.0)</f>
        <v>45043</v>
      </c>
      <c r="B483" s="20">
        <f>IFERROR(__xludf.DUMMYFUNCTION("""COMPUTED_VALUE"""),0.9584538461538462)</f>
        <v>0.9584538462</v>
      </c>
      <c r="C483" s="21">
        <f>IFERROR(__xludf.DUMMYFUNCTION("""COMPUTED_VALUE"""),0.7275)</f>
        <v>0.7275</v>
      </c>
      <c r="D483" s="21">
        <f>IFERROR(__xludf.DUMMYFUNCTION("""COMPUTED_VALUE"""),1.3803999999999998)</f>
        <v>1.3804</v>
      </c>
      <c r="E483" s="20">
        <f>IFERROR(__xludf.DUMMYFUNCTION("""COMPUTED_VALUE"""),0.44741285714285717)</f>
        <v>0.4474128571</v>
      </c>
      <c r="F483" s="20">
        <f>IFERROR(__xludf.DUMMYFUNCTION("""COMPUTED_VALUE"""),0.5574065642857143)</f>
        <v>0.5574065643</v>
      </c>
      <c r="G483" s="20">
        <f>IFERROR(__xludf.DUMMYFUNCTION("""COMPUTED_VALUE"""),0.479)</f>
        <v>0.479</v>
      </c>
      <c r="H483" s="23"/>
      <c r="J483" s="22"/>
    </row>
    <row r="484">
      <c r="A484" s="19">
        <f>IFERROR(__xludf.DUMMYFUNCTION("""COMPUTED_VALUE"""),45044.0)</f>
        <v>45044</v>
      </c>
      <c r="B484" s="20">
        <f>IFERROR(__xludf.DUMMYFUNCTION("""COMPUTED_VALUE"""),0.9584538461538462)</f>
        <v>0.9584538462</v>
      </c>
      <c r="C484" s="21">
        <f>IFERROR(__xludf.DUMMYFUNCTION("""COMPUTED_VALUE"""),0.7275)</f>
        <v>0.7275</v>
      </c>
      <c r="D484" s="21">
        <f>IFERROR(__xludf.DUMMYFUNCTION("""COMPUTED_VALUE"""),1.3803999999999998)</f>
        <v>1.3804</v>
      </c>
      <c r="E484" s="20">
        <f>IFERROR(__xludf.DUMMYFUNCTION("""COMPUTED_VALUE"""),0.4393114285714286)</f>
        <v>0.4393114286</v>
      </c>
      <c r="F484" s="20">
        <f>IFERROR(__xludf.DUMMYFUNCTION("""COMPUTED_VALUE"""),0.5589592107142857)</f>
        <v>0.5589592107</v>
      </c>
      <c r="G484" s="20">
        <f>IFERROR(__xludf.DUMMYFUNCTION("""COMPUTED_VALUE"""),0.479)</f>
        <v>0.479</v>
      </c>
      <c r="H484" s="23"/>
      <c r="J484" s="22"/>
    </row>
    <row r="485">
      <c r="A485" s="19">
        <f>IFERROR(__xludf.DUMMYFUNCTION("""COMPUTED_VALUE"""),45045.0)</f>
        <v>45045</v>
      </c>
      <c r="B485" s="20">
        <f>IFERROR(__xludf.DUMMYFUNCTION("""COMPUTED_VALUE"""),0.9584538461538462)</f>
        <v>0.9584538462</v>
      </c>
      <c r="C485" s="21">
        <f>IFERROR(__xludf.DUMMYFUNCTION("""COMPUTED_VALUE"""),0.7275)</f>
        <v>0.7275</v>
      </c>
      <c r="D485" s="21">
        <f>IFERROR(__xludf.DUMMYFUNCTION("""COMPUTED_VALUE"""),1.3803999999999998)</f>
        <v>1.3804</v>
      </c>
      <c r="E485" s="20">
        <f>IFERROR(__xludf.DUMMYFUNCTION("""COMPUTED_VALUE"""),0.43373214285714284)</f>
        <v>0.4337321429</v>
      </c>
      <c r="F485" s="20">
        <f>IFERROR(__xludf.DUMMYFUNCTION("""COMPUTED_VALUE"""),0.5605118571428571)</f>
        <v>0.5605118571</v>
      </c>
      <c r="G485" s="20">
        <f>IFERROR(__xludf.DUMMYFUNCTION("""COMPUTED_VALUE"""),0.479)</f>
        <v>0.479</v>
      </c>
      <c r="H485" s="23"/>
      <c r="J485" s="22"/>
    </row>
    <row r="486">
      <c r="A486" s="19">
        <f>IFERROR(__xludf.DUMMYFUNCTION("""COMPUTED_VALUE"""),45046.0)</f>
        <v>45046</v>
      </c>
      <c r="B486" s="20">
        <f>IFERROR(__xludf.DUMMYFUNCTION("""COMPUTED_VALUE"""),0.9584538461538462)</f>
        <v>0.9584538462</v>
      </c>
      <c r="C486" s="21">
        <f>IFERROR(__xludf.DUMMYFUNCTION("""COMPUTED_VALUE"""),0.7275)</f>
        <v>0.7275</v>
      </c>
      <c r="D486" s="21">
        <f>IFERROR(__xludf.DUMMYFUNCTION("""COMPUTED_VALUE"""),1.3803999999999998)</f>
        <v>1.3804</v>
      </c>
      <c r="E486" s="20">
        <f>IFERROR(__xludf.DUMMYFUNCTION("""COMPUTED_VALUE"""),0.42815285714285706)</f>
        <v>0.4281528571</v>
      </c>
      <c r="F486" s="20">
        <f>IFERROR(__xludf.DUMMYFUNCTION("""COMPUTED_VALUE"""),0.5620645035714286)</f>
        <v>0.5620645036</v>
      </c>
      <c r="G486" s="20">
        <f>IFERROR(__xludf.DUMMYFUNCTION("""COMPUTED_VALUE"""),0.479)</f>
        <v>0.479</v>
      </c>
      <c r="H486" s="23"/>
      <c r="J486" s="22"/>
    </row>
    <row r="487">
      <c r="A487" s="19">
        <f>IFERROR(__xludf.DUMMYFUNCTION("""COMPUTED_VALUE"""),45047.0)</f>
        <v>45047</v>
      </c>
      <c r="B487" s="20">
        <f>IFERROR(__xludf.DUMMYFUNCTION("""COMPUTED_VALUE"""),0.9584538461538462)</f>
        <v>0.9584538462</v>
      </c>
      <c r="C487" s="21">
        <f>IFERROR(__xludf.DUMMYFUNCTION("""COMPUTED_VALUE"""),0.7275)</f>
        <v>0.7275</v>
      </c>
      <c r="D487" s="21">
        <f>IFERROR(__xludf.DUMMYFUNCTION("""COMPUTED_VALUE"""),1.3803999999999998)</f>
        <v>1.3804</v>
      </c>
      <c r="E487" s="20">
        <f>IFERROR(__xludf.DUMMYFUNCTION("""COMPUTED_VALUE"""),0.4218857142857142)</f>
        <v>0.4218857143</v>
      </c>
      <c r="F487" s="20">
        <f>IFERROR(__xludf.DUMMYFUNCTION("""COMPUTED_VALUE"""),0.5641177571428572)</f>
        <v>0.5641177571</v>
      </c>
      <c r="G487" s="20">
        <f>IFERROR(__xludf.DUMMYFUNCTION("""COMPUTED_VALUE"""),0.364)</f>
        <v>0.364</v>
      </c>
      <c r="H487" s="23"/>
      <c r="J487" s="22"/>
    </row>
    <row r="488">
      <c r="A488" s="19">
        <f>IFERROR(__xludf.DUMMYFUNCTION("""COMPUTED_VALUE"""),45048.0)</f>
        <v>45048</v>
      </c>
      <c r="B488" s="20">
        <f>IFERROR(__xludf.DUMMYFUNCTION("""COMPUTED_VALUE"""),0.9584538461538462)</f>
        <v>0.9584538462</v>
      </c>
      <c r="C488" s="21">
        <f>IFERROR(__xludf.DUMMYFUNCTION("""COMPUTED_VALUE"""),0.7275)</f>
        <v>0.7275</v>
      </c>
      <c r="D488" s="21">
        <f>IFERROR(__xludf.DUMMYFUNCTION("""COMPUTED_VALUE"""),1.3803999999999998)</f>
        <v>1.3804</v>
      </c>
      <c r="E488" s="20">
        <f>IFERROR(__xludf.DUMMYFUNCTION("""COMPUTED_VALUE"""),0.4270828571428571)</f>
        <v>0.4270828571</v>
      </c>
      <c r="F488" s="20">
        <f>IFERROR(__xludf.DUMMYFUNCTION("""COMPUTED_VALUE"""),0.5644685642857143)</f>
        <v>0.5644685643</v>
      </c>
      <c r="G488" s="20">
        <f>IFERROR(__xludf.DUMMYFUNCTION("""COMPUTED_VALUE"""),0.364)</f>
        <v>0.364</v>
      </c>
      <c r="H488" s="23"/>
      <c r="J488" s="22"/>
    </row>
    <row r="489">
      <c r="A489" s="19">
        <f>IFERROR(__xludf.DUMMYFUNCTION("""COMPUTED_VALUE"""),45049.0)</f>
        <v>45049</v>
      </c>
      <c r="B489" s="20">
        <f>IFERROR(__xludf.DUMMYFUNCTION("""COMPUTED_VALUE"""),0.9584538461538462)</f>
        <v>0.9584538462</v>
      </c>
      <c r="C489" s="21">
        <f>IFERROR(__xludf.DUMMYFUNCTION("""COMPUTED_VALUE"""),0.7275)</f>
        <v>0.7275</v>
      </c>
      <c r="D489" s="21">
        <f>IFERROR(__xludf.DUMMYFUNCTION("""COMPUTED_VALUE"""),1.3803999999999998)</f>
        <v>1.3804</v>
      </c>
      <c r="E489" s="20">
        <f>IFERROR(__xludf.DUMMYFUNCTION("""COMPUTED_VALUE"""),0.43052214285714285)</f>
        <v>0.4305221429</v>
      </c>
      <c r="F489" s="20">
        <f>IFERROR(__xludf.DUMMYFUNCTION("""COMPUTED_VALUE"""),0.5637023678571429)</f>
        <v>0.5637023679</v>
      </c>
      <c r="G489" s="20">
        <f>IFERROR(__xludf.DUMMYFUNCTION("""COMPUTED_VALUE"""),0.364)</f>
        <v>0.364</v>
      </c>
      <c r="H489" s="23"/>
      <c r="J489" s="22"/>
    </row>
    <row r="490">
      <c r="A490" s="19">
        <f>IFERROR(__xludf.DUMMYFUNCTION("""COMPUTED_VALUE"""),45050.0)</f>
        <v>45050</v>
      </c>
      <c r="B490" s="20">
        <f>IFERROR(__xludf.DUMMYFUNCTION("""COMPUTED_VALUE"""),0.9584538461538462)</f>
        <v>0.9584538462</v>
      </c>
      <c r="C490" s="21">
        <f>IFERROR(__xludf.DUMMYFUNCTION("""COMPUTED_VALUE"""),0.7275)</f>
        <v>0.7275</v>
      </c>
      <c r="D490" s="21">
        <f>IFERROR(__xludf.DUMMYFUNCTION("""COMPUTED_VALUE"""),1.3803999999999998)</f>
        <v>1.3804</v>
      </c>
      <c r="E490" s="20">
        <f>IFERROR(__xludf.DUMMYFUNCTION("""COMPUTED_VALUE"""),0.42830571428571423)</f>
        <v>0.4283057143</v>
      </c>
      <c r="F490" s="20">
        <f>IFERROR(__xludf.DUMMYFUNCTION("""COMPUTED_VALUE"""),0.558746357142857)</f>
        <v>0.5587463571</v>
      </c>
      <c r="G490" s="20">
        <f>IFERROR(__xludf.DUMMYFUNCTION("""COMPUTED_VALUE"""),0.364)</f>
        <v>0.364</v>
      </c>
      <c r="H490" s="23"/>
      <c r="J490" s="22"/>
    </row>
    <row r="491">
      <c r="A491" s="19">
        <f>IFERROR(__xludf.DUMMYFUNCTION("""COMPUTED_VALUE"""),45051.0)</f>
        <v>45051</v>
      </c>
      <c r="B491" s="20">
        <f>IFERROR(__xludf.DUMMYFUNCTION("""COMPUTED_VALUE"""),0.9584538461538462)</f>
        <v>0.9584538462</v>
      </c>
      <c r="C491" s="21">
        <f>IFERROR(__xludf.DUMMYFUNCTION("""COMPUTED_VALUE"""),0.7275)</f>
        <v>0.7275</v>
      </c>
      <c r="D491" s="21">
        <f>IFERROR(__xludf.DUMMYFUNCTION("""COMPUTED_VALUE"""),1.3803999999999998)</f>
        <v>1.3804</v>
      </c>
      <c r="E491" s="20">
        <f>IFERROR(__xludf.DUMMYFUNCTION("""COMPUTED_VALUE"""),0.4265478571428571)</f>
        <v>0.4265478571</v>
      </c>
      <c r="F491" s="20">
        <f>IFERROR(__xludf.DUMMYFUNCTION("""COMPUTED_VALUE"""),0.5554098678571427)</f>
        <v>0.5554098679</v>
      </c>
      <c r="G491" s="20">
        <f>IFERROR(__xludf.DUMMYFUNCTION("""COMPUTED_VALUE"""),0.364)</f>
        <v>0.364</v>
      </c>
      <c r="H491" s="23"/>
      <c r="J491" s="22"/>
    </row>
    <row r="492">
      <c r="A492" s="19">
        <f>IFERROR(__xludf.DUMMYFUNCTION("""COMPUTED_VALUE"""),45052.0)</f>
        <v>45052</v>
      </c>
      <c r="B492" s="20">
        <f>IFERROR(__xludf.DUMMYFUNCTION("""COMPUTED_VALUE"""),0.9584538461538462)</f>
        <v>0.9584538462</v>
      </c>
      <c r="C492" s="21">
        <f>IFERROR(__xludf.DUMMYFUNCTION("""COMPUTED_VALUE"""),0.7275)</f>
        <v>0.7275</v>
      </c>
      <c r="D492" s="21">
        <f>IFERROR(__xludf.DUMMYFUNCTION("""COMPUTED_VALUE"""),1.3803999999999998)</f>
        <v>1.3804</v>
      </c>
      <c r="E492" s="20">
        <f>IFERROR(__xludf.DUMMYFUNCTION("""COMPUTED_VALUE"""),0.4238728571428571)</f>
        <v>0.4238728571</v>
      </c>
      <c r="F492" s="20">
        <f>IFERROR(__xludf.DUMMYFUNCTION("""COMPUTED_VALUE"""),0.5520733785714285)</f>
        <v>0.5520733786</v>
      </c>
      <c r="G492" s="20">
        <f>IFERROR(__xludf.DUMMYFUNCTION("""COMPUTED_VALUE"""),0.364)</f>
        <v>0.364</v>
      </c>
      <c r="H492" s="23"/>
      <c r="J492" s="22"/>
    </row>
    <row r="493">
      <c r="A493" s="19">
        <f>IFERROR(__xludf.DUMMYFUNCTION("""COMPUTED_VALUE"""),45053.0)</f>
        <v>45053</v>
      </c>
      <c r="B493" s="20">
        <f>IFERROR(__xludf.DUMMYFUNCTION("""COMPUTED_VALUE"""),0.9584538461538462)</f>
        <v>0.9584538462</v>
      </c>
      <c r="C493" s="21">
        <f>IFERROR(__xludf.DUMMYFUNCTION("""COMPUTED_VALUE"""),0.7275)</f>
        <v>0.7275</v>
      </c>
      <c r="D493" s="21">
        <f>IFERROR(__xludf.DUMMYFUNCTION("""COMPUTED_VALUE"""),1.3803999999999998)</f>
        <v>1.3804</v>
      </c>
      <c r="E493" s="20">
        <f>IFERROR(__xludf.DUMMYFUNCTION("""COMPUTED_VALUE"""),0.4211978571428571)</f>
        <v>0.4211978571</v>
      </c>
      <c r="F493" s="20">
        <f>IFERROR(__xludf.DUMMYFUNCTION("""COMPUTED_VALUE"""),0.5487368892857143)</f>
        <v>0.5487368893</v>
      </c>
      <c r="G493" s="20">
        <f>IFERROR(__xludf.DUMMYFUNCTION("""COMPUTED_VALUE"""),0.364)</f>
        <v>0.364</v>
      </c>
      <c r="H493" s="23"/>
      <c r="J493" s="22"/>
    </row>
    <row r="494">
      <c r="A494" s="19">
        <f>IFERROR(__xludf.DUMMYFUNCTION("""COMPUTED_VALUE"""),45054.0)</f>
        <v>45054</v>
      </c>
      <c r="B494" s="20">
        <f>IFERROR(__xludf.DUMMYFUNCTION("""COMPUTED_VALUE"""),0.8891666666666665)</f>
        <v>0.8891666667</v>
      </c>
      <c r="C494" s="21">
        <f>IFERROR(__xludf.DUMMYFUNCTION("""COMPUTED_VALUE"""),0.699)</f>
        <v>0.699</v>
      </c>
      <c r="D494" s="21">
        <f>IFERROR(__xludf.DUMMYFUNCTION("""COMPUTED_VALUE"""),1.2645)</f>
        <v>1.2645</v>
      </c>
      <c r="E494" s="20">
        <f>IFERROR(__xludf.DUMMYFUNCTION("""COMPUTED_VALUE"""),0.4235671428571428)</f>
        <v>0.4235671429</v>
      </c>
      <c r="F494" s="20">
        <f>IFERROR(__xludf.DUMMYFUNCTION("""COMPUTED_VALUE"""),0.5460175607142858)</f>
        <v>0.5460175607</v>
      </c>
      <c r="G494" s="20">
        <f>IFERROR(__xludf.DUMMYFUNCTION("""COMPUTED_VALUE"""),0.364)</f>
        <v>0.364</v>
      </c>
      <c r="H494" s="23"/>
      <c r="J494" s="22"/>
    </row>
    <row r="495">
      <c r="A495" s="19">
        <f>IFERROR(__xludf.DUMMYFUNCTION("""COMPUTED_VALUE"""),45055.0)</f>
        <v>45055</v>
      </c>
      <c r="B495" s="20">
        <f>IFERROR(__xludf.DUMMYFUNCTION("""COMPUTED_VALUE"""),0.8891666666666665)</f>
        <v>0.8891666667</v>
      </c>
      <c r="C495" s="21">
        <f>IFERROR(__xludf.DUMMYFUNCTION("""COMPUTED_VALUE"""),0.699)</f>
        <v>0.699</v>
      </c>
      <c r="D495" s="21">
        <f>IFERROR(__xludf.DUMMYFUNCTION("""COMPUTED_VALUE"""),1.2645)</f>
        <v>1.2645</v>
      </c>
      <c r="E495" s="20">
        <f>IFERROR(__xludf.DUMMYFUNCTION("""COMPUTED_VALUE"""),0.42226785714285714)</f>
        <v>0.4222678571</v>
      </c>
      <c r="F495" s="20">
        <f>IFERROR(__xludf.DUMMYFUNCTION("""COMPUTED_VALUE"""),0.5445424892857142)</f>
        <v>0.5445424893</v>
      </c>
      <c r="G495" s="20">
        <f>IFERROR(__xludf.DUMMYFUNCTION("""COMPUTED_VALUE"""),0.364)</f>
        <v>0.364</v>
      </c>
      <c r="H495" s="23"/>
      <c r="J495" s="22"/>
    </row>
    <row r="496">
      <c r="A496" s="19">
        <f>IFERROR(__xludf.DUMMYFUNCTION("""COMPUTED_VALUE"""),45056.0)</f>
        <v>45056</v>
      </c>
      <c r="B496" s="20">
        <f>IFERROR(__xludf.DUMMYFUNCTION("""COMPUTED_VALUE"""),0.8891666666666665)</f>
        <v>0.8891666667</v>
      </c>
      <c r="C496" s="21">
        <f>IFERROR(__xludf.DUMMYFUNCTION("""COMPUTED_VALUE"""),0.699)</f>
        <v>0.699</v>
      </c>
      <c r="D496" s="21">
        <f>IFERROR(__xludf.DUMMYFUNCTION("""COMPUTED_VALUE"""),1.2645)</f>
        <v>1.2645</v>
      </c>
      <c r="E496" s="20">
        <f>IFERROR(__xludf.DUMMYFUNCTION("""COMPUTED_VALUE"""),0.41928714285714286)</f>
        <v>0.4192871429</v>
      </c>
      <c r="F496" s="20">
        <f>IFERROR(__xludf.DUMMYFUNCTION("""COMPUTED_VALUE"""),0.5439750071428572)</f>
        <v>0.5439750071</v>
      </c>
      <c r="G496" s="20">
        <f>IFERROR(__xludf.DUMMYFUNCTION("""COMPUTED_VALUE"""),0.364)</f>
        <v>0.364</v>
      </c>
      <c r="H496" s="23"/>
      <c r="J496" s="22"/>
    </row>
    <row r="497">
      <c r="A497" s="19">
        <f>IFERROR(__xludf.DUMMYFUNCTION("""COMPUTED_VALUE"""),45057.0)</f>
        <v>45057</v>
      </c>
      <c r="B497" s="20">
        <f>IFERROR(__xludf.DUMMYFUNCTION("""COMPUTED_VALUE"""),0.8891666666666665)</f>
        <v>0.8891666667</v>
      </c>
      <c r="C497" s="21">
        <f>IFERROR(__xludf.DUMMYFUNCTION("""COMPUTED_VALUE"""),0.699)</f>
        <v>0.699</v>
      </c>
      <c r="D497" s="21">
        <f>IFERROR(__xludf.DUMMYFUNCTION("""COMPUTED_VALUE"""),1.2645)</f>
        <v>1.2645</v>
      </c>
      <c r="E497" s="20">
        <f>IFERROR(__xludf.DUMMYFUNCTION("""COMPUTED_VALUE"""),0.4173764285714286)</f>
        <v>0.4173764286</v>
      </c>
      <c r="F497" s="20">
        <f>IFERROR(__xludf.DUMMYFUNCTION("""COMPUTED_VALUE"""),0.5447446428571429)</f>
        <v>0.5447446429</v>
      </c>
      <c r="G497" s="20">
        <f>IFERROR(__xludf.DUMMYFUNCTION("""COMPUTED_VALUE"""),0.364)</f>
        <v>0.364</v>
      </c>
      <c r="H497" s="23"/>
      <c r="J497" s="22"/>
    </row>
    <row r="498">
      <c r="A498" s="19">
        <f>IFERROR(__xludf.DUMMYFUNCTION("""COMPUTED_VALUE"""),45058.0)</f>
        <v>45058</v>
      </c>
      <c r="B498" s="20">
        <f>IFERROR(__xludf.DUMMYFUNCTION("""COMPUTED_VALUE"""),0.8891666666666665)</f>
        <v>0.8891666667</v>
      </c>
      <c r="C498" s="21">
        <f>IFERROR(__xludf.DUMMYFUNCTION("""COMPUTED_VALUE"""),0.699)</f>
        <v>0.699</v>
      </c>
      <c r="D498" s="21">
        <f>IFERROR(__xludf.DUMMYFUNCTION("""COMPUTED_VALUE"""),1.2645)</f>
        <v>1.2645</v>
      </c>
      <c r="E498" s="20">
        <f>IFERROR(__xludf.DUMMYFUNCTION("""COMPUTED_VALUE"""),0.41500714285714285)</f>
        <v>0.4150071429</v>
      </c>
      <c r="F498" s="20">
        <f>IFERROR(__xludf.DUMMYFUNCTION("""COMPUTED_VALUE"""),0.5411131392857144)</f>
        <v>0.5411131393</v>
      </c>
      <c r="G498" s="20">
        <f>IFERROR(__xludf.DUMMYFUNCTION("""COMPUTED_VALUE"""),0.364)</f>
        <v>0.364</v>
      </c>
      <c r="H498" s="23"/>
      <c r="J498" s="22"/>
    </row>
    <row r="499">
      <c r="A499" s="19">
        <f>IFERROR(__xludf.DUMMYFUNCTION("""COMPUTED_VALUE"""),45059.0)</f>
        <v>45059</v>
      </c>
      <c r="B499" s="20">
        <f>IFERROR(__xludf.DUMMYFUNCTION("""COMPUTED_VALUE"""),0.8891666666666665)</f>
        <v>0.8891666667</v>
      </c>
      <c r="C499" s="21">
        <f>IFERROR(__xludf.DUMMYFUNCTION("""COMPUTED_VALUE"""),0.699)</f>
        <v>0.699</v>
      </c>
      <c r="D499" s="21">
        <f>IFERROR(__xludf.DUMMYFUNCTION("""COMPUTED_VALUE"""),1.2645)</f>
        <v>1.2645</v>
      </c>
      <c r="E499" s="20">
        <f>IFERROR(__xludf.DUMMYFUNCTION("""COMPUTED_VALUE"""),0.41103285714285714)</f>
        <v>0.4110328571</v>
      </c>
      <c r="F499" s="20">
        <f>IFERROR(__xludf.DUMMYFUNCTION("""COMPUTED_VALUE"""),0.5374816357142858)</f>
        <v>0.5374816357</v>
      </c>
      <c r="G499" s="20">
        <f>IFERROR(__xludf.DUMMYFUNCTION("""COMPUTED_VALUE"""),0.364)</f>
        <v>0.364</v>
      </c>
      <c r="H499" s="23"/>
      <c r="J499" s="22"/>
    </row>
    <row r="500">
      <c r="A500" s="19">
        <f>IFERROR(__xludf.DUMMYFUNCTION("""COMPUTED_VALUE"""),45060.0)</f>
        <v>45060</v>
      </c>
      <c r="B500" s="20">
        <f>IFERROR(__xludf.DUMMYFUNCTION("""COMPUTED_VALUE"""),0.8891666666666665)</f>
        <v>0.8891666667</v>
      </c>
      <c r="C500" s="21">
        <f>IFERROR(__xludf.DUMMYFUNCTION("""COMPUTED_VALUE"""),0.699)</f>
        <v>0.699</v>
      </c>
      <c r="D500" s="21">
        <f>IFERROR(__xludf.DUMMYFUNCTION("""COMPUTED_VALUE"""),1.2645)</f>
        <v>1.2645</v>
      </c>
      <c r="E500" s="20">
        <f>IFERROR(__xludf.DUMMYFUNCTION("""COMPUTED_VALUE"""),0.4070585714285714)</f>
        <v>0.4070585714</v>
      </c>
      <c r="F500" s="20">
        <f>IFERROR(__xludf.DUMMYFUNCTION("""COMPUTED_VALUE"""),0.5338501321428571)</f>
        <v>0.5338501321</v>
      </c>
      <c r="G500" s="20">
        <f>IFERROR(__xludf.DUMMYFUNCTION("""COMPUTED_VALUE"""),0.364)</f>
        <v>0.364</v>
      </c>
      <c r="H500" s="23"/>
      <c r="J500" s="22"/>
    </row>
    <row r="501">
      <c r="A501" s="19">
        <f>IFERROR(__xludf.DUMMYFUNCTION("""COMPUTED_VALUE"""),45061.0)</f>
        <v>45061</v>
      </c>
      <c r="B501" s="20">
        <f>IFERROR(__xludf.DUMMYFUNCTION("""COMPUTED_VALUE"""),0.8891666666666665)</f>
        <v>0.8891666667</v>
      </c>
      <c r="C501" s="21">
        <f>IFERROR(__xludf.DUMMYFUNCTION("""COMPUTED_VALUE"""),0.699)</f>
        <v>0.699</v>
      </c>
      <c r="D501" s="21">
        <f>IFERROR(__xludf.DUMMYFUNCTION("""COMPUTED_VALUE"""),1.2645)</f>
        <v>1.2645</v>
      </c>
      <c r="E501" s="20">
        <f>IFERROR(__xludf.DUMMYFUNCTION("""COMPUTED_VALUE"""),0.40270214285714273)</f>
        <v>0.4027021429</v>
      </c>
      <c r="F501" s="20">
        <f>IFERROR(__xludf.DUMMYFUNCTION("""COMPUTED_VALUE"""),0.5256405571428572)</f>
        <v>0.5256405571</v>
      </c>
      <c r="G501" s="20">
        <f>IFERROR(__xludf.DUMMYFUNCTION("""COMPUTED_VALUE"""),0.364)</f>
        <v>0.364</v>
      </c>
      <c r="H501" s="23"/>
      <c r="J501" s="22"/>
    </row>
    <row r="502">
      <c r="A502" s="19">
        <f>IFERROR(__xludf.DUMMYFUNCTION("""COMPUTED_VALUE"""),45062.0)</f>
        <v>45062</v>
      </c>
      <c r="B502" s="20">
        <f>IFERROR(__xludf.DUMMYFUNCTION("""COMPUTED_VALUE"""),0.8891666666666665)</f>
        <v>0.8891666667</v>
      </c>
      <c r="C502" s="21">
        <f>IFERROR(__xludf.DUMMYFUNCTION("""COMPUTED_VALUE"""),0.699)</f>
        <v>0.699</v>
      </c>
      <c r="D502" s="21">
        <f>IFERROR(__xludf.DUMMYFUNCTION("""COMPUTED_VALUE"""),1.2645)</f>
        <v>1.2645</v>
      </c>
      <c r="E502" s="20">
        <f>IFERROR(__xludf.DUMMYFUNCTION("""COMPUTED_VALUE"""),0.39253714285714286)</f>
        <v>0.3925371429</v>
      </c>
      <c r="F502" s="20">
        <f>IFERROR(__xludf.DUMMYFUNCTION("""COMPUTED_VALUE"""),0.5154629464285715)</f>
        <v>0.5154629464</v>
      </c>
      <c r="G502" s="20">
        <f>IFERROR(__xludf.DUMMYFUNCTION("""COMPUTED_VALUE"""),0.364)</f>
        <v>0.364</v>
      </c>
      <c r="H502" s="23"/>
      <c r="J502" s="22"/>
    </row>
    <row r="503">
      <c r="A503" s="19">
        <f>IFERROR(__xludf.DUMMYFUNCTION("""COMPUTED_VALUE"""),45063.0)</f>
        <v>45063</v>
      </c>
      <c r="B503" s="20">
        <f>IFERROR(__xludf.DUMMYFUNCTION("""COMPUTED_VALUE"""),0.8891666666666665)</f>
        <v>0.8891666667</v>
      </c>
      <c r="C503" s="21">
        <f>IFERROR(__xludf.DUMMYFUNCTION("""COMPUTED_VALUE"""),0.699)</f>
        <v>0.699</v>
      </c>
      <c r="D503" s="21">
        <f>IFERROR(__xludf.DUMMYFUNCTION("""COMPUTED_VALUE"""),1.2645)</f>
        <v>1.2645</v>
      </c>
      <c r="E503" s="20">
        <f>IFERROR(__xludf.DUMMYFUNCTION("""COMPUTED_VALUE"""),0.38313642857142854)</f>
        <v>0.3831364286</v>
      </c>
      <c r="F503" s="20">
        <f>IFERROR(__xludf.DUMMYFUNCTION("""COMPUTED_VALUE"""),0.5079614821428572)</f>
        <v>0.5079614821</v>
      </c>
      <c r="G503" s="20">
        <f>IFERROR(__xludf.DUMMYFUNCTION("""COMPUTED_VALUE"""),0.364)</f>
        <v>0.364</v>
      </c>
      <c r="H503" s="23"/>
      <c r="J503" s="22"/>
    </row>
    <row r="504">
      <c r="A504" s="19">
        <f>IFERROR(__xludf.DUMMYFUNCTION("""COMPUTED_VALUE"""),45064.0)</f>
        <v>45064</v>
      </c>
      <c r="B504" s="20">
        <f>IFERROR(__xludf.DUMMYFUNCTION("""COMPUTED_VALUE"""),0.8891666666666665)</f>
        <v>0.8891666667</v>
      </c>
      <c r="C504" s="21">
        <f>IFERROR(__xludf.DUMMYFUNCTION("""COMPUTED_VALUE"""),0.699)</f>
        <v>0.699</v>
      </c>
      <c r="D504" s="21">
        <f>IFERROR(__xludf.DUMMYFUNCTION("""COMPUTED_VALUE"""),1.2645)</f>
        <v>1.2645</v>
      </c>
      <c r="E504" s="20">
        <f>IFERROR(__xludf.DUMMYFUNCTION("""COMPUTED_VALUE"""),0.37916214285714284)</f>
        <v>0.3791621429</v>
      </c>
      <c r="F504" s="20">
        <f>IFERROR(__xludf.DUMMYFUNCTION("""COMPUTED_VALUE"""),0.4980777392857143)</f>
        <v>0.4980777393</v>
      </c>
      <c r="G504" s="20">
        <f>IFERROR(__xludf.DUMMYFUNCTION("""COMPUTED_VALUE"""),0.364)</f>
        <v>0.364</v>
      </c>
      <c r="H504" s="23"/>
      <c r="J504" s="22"/>
    </row>
    <row r="505">
      <c r="A505" s="19">
        <f>IFERROR(__xludf.DUMMYFUNCTION("""COMPUTED_VALUE"""),45065.0)</f>
        <v>45065</v>
      </c>
      <c r="B505" s="20">
        <f>IFERROR(__xludf.DUMMYFUNCTION("""COMPUTED_VALUE"""),0.8891666666666665)</f>
        <v>0.8891666667</v>
      </c>
      <c r="C505" s="21">
        <f>IFERROR(__xludf.DUMMYFUNCTION("""COMPUTED_VALUE"""),0.699)</f>
        <v>0.699</v>
      </c>
      <c r="D505" s="21">
        <f>IFERROR(__xludf.DUMMYFUNCTION("""COMPUTED_VALUE"""),1.2645)</f>
        <v>1.2645</v>
      </c>
      <c r="E505" s="20">
        <f>IFERROR(__xludf.DUMMYFUNCTION("""COMPUTED_VALUE"""),0.37213071428571426)</f>
        <v>0.3721307143</v>
      </c>
      <c r="F505" s="20">
        <f>IFERROR(__xludf.DUMMYFUNCTION("""COMPUTED_VALUE"""),0.49284391071428574)</f>
        <v>0.4928439107</v>
      </c>
      <c r="G505" s="20">
        <f>IFERROR(__xludf.DUMMYFUNCTION("""COMPUTED_VALUE"""),0.364)</f>
        <v>0.364</v>
      </c>
      <c r="H505" s="23"/>
      <c r="J505" s="22"/>
    </row>
    <row r="506">
      <c r="A506" s="19">
        <f>IFERROR(__xludf.DUMMYFUNCTION("""COMPUTED_VALUE"""),45066.0)</f>
        <v>45066</v>
      </c>
      <c r="B506" s="20">
        <f>IFERROR(__xludf.DUMMYFUNCTION("""COMPUTED_VALUE"""),0.8891666666666665)</f>
        <v>0.8891666667</v>
      </c>
      <c r="C506" s="21">
        <f>IFERROR(__xludf.DUMMYFUNCTION("""COMPUTED_VALUE"""),0.699)</f>
        <v>0.699</v>
      </c>
      <c r="D506" s="21">
        <f>IFERROR(__xludf.DUMMYFUNCTION("""COMPUTED_VALUE"""),1.2645)</f>
        <v>1.2645</v>
      </c>
      <c r="E506" s="20">
        <f>IFERROR(__xludf.DUMMYFUNCTION("""COMPUTED_VALUE"""),0.3660928571428571)</f>
        <v>0.3660928571</v>
      </c>
      <c r="F506" s="20">
        <f>IFERROR(__xludf.DUMMYFUNCTION("""COMPUTED_VALUE"""),0.4876100821428571)</f>
        <v>0.4876100821</v>
      </c>
      <c r="G506" s="20">
        <f>IFERROR(__xludf.DUMMYFUNCTION("""COMPUTED_VALUE"""),0.364)</f>
        <v>0.364</v>
      </c>
      <c r="H506" s="23"/>
      <c r="J506" s="22"/>
    </row>
    <row r="507">
      <c r="A507" s="19">
        <f>IFERROR(__xludf.DUMMYFUNCTION("""COMPUTED_VALUE"""),45067.0)</f>
        <v>45067</v>
      </c>
      <c r="B507" s="20">
        <f>IFERROR(__xludf.DUMMYFUNCTION("""COMPUTED_VALUE"""),0.8891666666666665)</f>
        <v>0.8891666667</v>
      </c>
      <c r="C507" s="21">
        <f>IFERROR(__xludf.DUMMYFUNCTION("""COMPUTED_VALUE"""),0.699)</f>
        <v>0.699</v>
      </c>
      <c r="D507" s="21">
        <f>IFERROR(__xludf.DUMMYFUNCTION("""COMPUTED_VALUE"""),1.2645)</f>
        <v>1.2645</v>
      </c>
      <c r="E507" s="20">
        <f>IFERROR(__xludf.DUMMYFUNCTION("""COMPUTED_VALUE"""),0.36005499999999996)</f>
        <v>0.360055</v>
      </c>
      <c r="F507" s="20">
        <f>IFERROR(__xludf.DUMMYFUNCTION("""COMPUTED_VALUE"""),0.48237625357142855)</f>
        <v>0.4823762536</v>
      </c>
      <c r="G507" s="20">
        <f>IFERROR(__xludf.DUMMYFUNCTION("""COMPUTED_VALUE"""),0.364)</f>
        <v>0.364</v>
      </c>
      <c r="H507" s="23"/>
      <c r="J507" s="22"/>
    </row>
    <row r="508">
      <c r="A508" s="19">
        <f>IFERROR(__xludf.DUMMYFUNCTION("""COMPUTED_VALUE"""),45068.0)</f>
        <v>45068</v>
      </c>
      <c r="B508" s="20">
        <f>IFERROR(__xludf.DUMMYFUNCTION("""COMPUTED_VALUE"""),0.8762599999999999)</f>
        <v>0.87626</v>
      </c>
      <c r="C508" s="21">
        <f>IFERROR(__xludf.DUMMYFUNCTION("""COMPUTED_VALUE"""),0.699)</f>
        <v>0.699</v>
      </c>
      <c r="D508" s="21">
        <f>IFERROR(__xludf.DUMMYFUNCTION("""COMPUTED_VALUE"""),1.2645)</f>
        <v>1.2645</v>
      </c>
      <c r="E508" s="20">
        <f>IFERROR(__xludf.DUMMYFUNCTION("""COMPUTED_VALUE"""),0.35523999999999994)</f>
        <v>0.35524</v>
      </c>
      <c r="F508" s="20">
        <f>IFERROR(__xludf.DUMMYFUNCTION("""COMPUTED_VALUE"""),0.4815061142857142)</f>
        <v>0.4815061143</v>
      </c>
      <c r="G508" s="20">
        <f>IFERROR(__xludf.DUMMYFUNCTION("""COMPUTED_VALUE"""),0.364)</f>
        <v>0.364</v>
      </c>
      <c r="H508" s="23"/>
      <c r="J508" s="22"/>
    </row>
    <row r="509">
      <c r="A509" s="19">
        <f>IFERROR(__xludf.DUMMYFUNCTION("""COMPUTED_VALUE"""),45069.0)</f>
        <v>45069</v>
      </c>
      <c r="B509" s="20">
        <f>IFERROR(__xludf.DUMMYFUNCTION("""COMPUTED_VALUE"""),0.8762599999999999)</f>
        <v>0.87626</v>
      </c>
      <c r="C509" s="21">
        <f>IFERROR(__xludf.DUMMYFUNCTION("""COMPUTED_VALUE"""),0.699)</f>
        <v>0.699</v>
      </c>
      <c r="D509" s="21">
        <f>IFERROR(__xludf.DUMMYFUNCTION("""COMPUTED_VALUE"""),1.2645)</f>
        <v>1.2645</v>
      </c>
      <c r="E509" s="20">
        <f>IFERROR(__xludf.DUMMYFUNCTION("""COMPUTED_VALUE"""),0.35157142857142853)</f>
        <v>0.3515714286</v>
      </c>
      <c r="F509" s="20">
        <f>IFERROR(__xludf.DUMMYFUNCTION("""COMPUTED_VALUE"""),0.4822723107142857)</f>
        <v>0.4822723107</v>
      </c>
      <c r="G509" s="20">
        <f>IFERROR(__xludf.DUMMYFUNCTION("""COMPUTED_VALUE"""),0.364)</f>
        <v>0.364</v>
      </c>
      <c r="H509" s="23"/>
      <c r="J509" s="22"/>
    </row>
    <row r="510">
      <c r="A510" s="19">
        <f>IFERROR(__xludf.DUMMYFUNCTION("""COMPUTED_VALUE"""),45070.0)</f>
        <v>45070</v>
      </c>
      <c r="B510" s="20">
        <f>IFERROR(__xludf.DUMMYFUNCTION("""COMPUTED_VALUE"""),0.8762599999999999)</f>
        <v>0.87626</v>
      </c>
      <c r="C510" s="21">
        <f>IFERROR(__xludf.DUMMYFUNCTION("""COMPUTED_VALUE"""),0.699)</f>
        <v>0.699</v>
      </c>
      <c r="D510" s="21">
        <f>IFERROR(__xludf.DUMMYFUNCTION("""COMPUTED_VALUE"""),1.2645)</f>
        <v>1.2645</v>
      </c>
      <c r="E510" s="20">
        <f>IFERROR(__xludf.DUMMYFUNCTION("""COMPUTED_VALUE"""),0.3479792857142857)</f>
        <v>0.3479792857</v>
      </c>
      <c r="F510" s="20">
        <f>IFERROR(__xludf.DUMMYFUNCTION("""COMPUTED_VALUE"""),0.48009294999999996)</f>
        <v>0.48009295</v>
      </c>
      <c r="G510" s="20">
        <f>IFERROR(__xludf.DUMMYFUNCTION("""COMPUTED_VALUE"""),0.364)</f>
        <v>0.364</v>
      </c>
      <c r="H510" s="23"/>
      <c r="J510" s="22"/>
    </row>
    <row r="511">
      <c r="A511" s="19">
        <f>IFERROR(__xludf.DUMMYFUNCTION("""COMPUTED_VALUE"""),45071.0)</f>
        <v>45071</v>
      </c>
      <c r="B511" s="20">
        <f>IFERROR(__xludf.DUMMYFUNCTION("""COMPUTED_VALUE"""),0.8762599999999999)</f>
        <v>0.87626</v>
      </c>
      <c r="C511" s="21">
        <f>IFERROR(__xludf.DUMMYFUNCTION("""COMPUTED_VALUE"""),0.699)</f>
        <v>0.699</v>
      </c>
      <c r="D511" s="21">
        <f>IFERROR(__xludf.DUMMYFUNCTION("""COMPUTED_VALUE"""),1.2645)</f>
        <v>1.2645</v>
      </c>
      <c r="E511" s="20">
        <f>IFERROR(__xludf.DUMMYFUNCTION("""COMPUTED_VALUE"""),0.3404892857142857)</f>
        <v>0.3404892857</v>
      </c>
      <c r="F511" s="20">
        <f>IFERROR(__xludf.DUMMYFUNCTION("""COMPUTED_VALUE"""),0.4753001142857142)</f>
        <v>0.4753001143</v>
      </c>
      <c r="G511" s="20">
        <f>IFERROR(__xludf.DUMMYFUNCTION("""COMPUTED_VALUE"""),0.364)</f>
        <v>0.364</v>
      </c>
      <c r="H511" s="23"/>
      <c r="J511" s="22"/>
    </row>
    <row r="512">
      <c r="A512" s="19">
        <f>IFERROR(__xludf.DUMMYFUNCTION("""COMPUTED_VALUE"""),45072.0)</f>
        <v>45072</v>
      </c>
      <c r="B512" s="20">
        <f>IFERROR(__xludf.DUMMYFUNCTION("""COMPUTED_VALUE"""),0.8762599999999999)</f>
        <v>0.87626</v>
      </c>
      <c r="C512" s="21">
        <f>IFERROR(__xludf.DUMMYFUNCTION("""COMPUTED_VALUE"""),0.699)</f>
        <v>0.699</v>
      </c>
      <c r="D512" s="21">
        <f>IFERROR(__xludf.DUMMYFUNCTION("""COMPUTED_VALUE"""),1.2645)</f>
        <v>1.2645</v>
      </c>
      <c r="E512" s="20">
        <f>IFERROR(__xludf.DUMMYFUNCTION("""COMPUTED_VALUE"""),0.33162357142857146)</f>
        <v>0.3316235714</v>
      </c>
      <c r="F512" s="20">
        <f>IFERROR(__xludf.DUMMYFUNCTION("""COMPUTED_VALUE"""),0.46617568928571435)</f>
        <v>0.4661756893</v>
      </c>
      <c r="G512" s="20">
        <f>IFERROR(__xludf.DUMMYFUNCTION("""COMPUTED_VALUE"""),0.364)</f>
        <v>0.364</v>
      </c>
      <c r="H512" s="23"/>
      <c r="J512" s="22"/>
    </row>
    <row r="513">
      <c r="A513" s="19">
        <f>IFERROR(__xludf.DUMMYFUNCTION("""COMPUTED_VALUE"""),45073.0)</f>
        <v>45073</v>
      </c>
      <c r="B513" s="20">
        <f>IFERROR(__xludf.DUMMYFUNCTION("""COMPUTED_VALUE"""),0.8762599999999999)</f>
        <v>0.87626</v>
      </c>
      <c r="C513" s="21">
        <f>IFERROR(__xludf.DUMMYFUNCTION("""COMPUTED_VALUE"""),0.699)</f>
        <v>0.699</v>
      </c>
      <c r="D513" s="21">
        <f>IFERROR(__xludf.DUMMYFUNCTION("""COMPUTED_VALUE"""),1.2645)</f>
        <v>1.2645</v>
      </c>
      <c r="E513" s="20">
        <f>IFERROR(__xludf.DUMMYFUNCTION("""COMPUTED_VALUE"""),0.3230635714285714)</f>
        <v>0.3230635714</v>
      </c>
      <c r="F513" s="20">
        <f>IFERROR(__xludf.DUMMYFUNCTION("""COMPUTED_VALUE"""),0.45705126428571424)</f>
        <v>0.4570512643</v>
      </c>
      <c r="G513" s="20">
        <f>IFERROR(__xludf.DUMMYFUNCTION("""COMPUTED_VALUE"""),0.364)</f>
        <v>0.364</v>
      </c>
      <c r="H513" s="23"/>
      <c r="J513" s="22"/>
    </row>
    <row r="514">
      <c r="A514" s="19">
        <f>IFERROR(__xludf.DUMMYFUNCTION("""COMPUTED_VALUE"""),45074.0)</f>
        <v>45074</v>
      </c>
      <c r="B514" s="20">
        <f>IFERROR(__xludf.DUMMYFUNCTION("""COMPUTED_VALUE"""),0.8762599999999999)</f>
        <v>0.87626</v>
      </c>
      <c r="C514" s="21">
        <f>IFERROR(__xludf.DUMMYFUNCTION("""COMPUTED_VALUE"""),0.699)</f>
        <v>0.699</v>
      </c>
      <c r="D514" s="21">
        <f>IFERROR(__xludf.DUMMYFUNCTION("""COMPUTED_VALUE"""),1.2645)</f>
        <v>1.2645</v>
      </c>
      <c r="E514" s="20">
        <f>IFERROR(__xludf.DUMMYFUNCTION("""COMPUTED_VALUE"""),0.3145035714285714)</f>
        <v>0.3145035714</v>
      </c>
      <c r="F514" s="20">
        <f>IFERROR(__xludf.DUMMYFUNCTION("""COMPUTED_VALUE"""),0.44792683928571425)</f>
        <v>0.4479268393</v>
      </c>
      <c r="G514" s="20">
        <f>IFERROR(__xludf.DUMMYFUNCTION("""COMPUTED_VALUE"""),0.364)</f>
        <v>0.364</v>
      </c>
      <c r="H514" s="23"/>
      <c r="J514" s="22"/>
    </row>
    <row r="515">
      <c r="A515" s="19">
        <f>IFERROR(__xludf.DUMMYFUNCTION("""COMPUTED_VALUE"""),45075.0)</f>
        <v>45075</v>
      </c>
      <c r="B515" s="20">
        <f>IFERROR(__xludf.DUMMYFUNCTION("""COMPUTED_VALUE"""),0.8762599999999999)</f>
        <v>0.87626</v>
      </c>
      <c r="C515" s="21">
        <f>IFERROR(__xludf.DUMMYFUNCTION("""COMPUTED_VALUE"""),0.699)</f>
        <v>0.699</v>
      </c>
      <c r="D515" s="21">
        <f>IFERROR(__xludf.DUMMYFUNCTION("""COMPUTED_VALUE"""),1.2645)</f>
        <v>1.2645</v>
      </c>
      <c r="E515" s="20">
        <f>IFERROR(__xludf.DUMMYFUNCTION("""COMPUTED_VALUE"""),0.30342142857142856)</f>
        <v>0.3034214286</v>
      </c>
      <c r="F515" s="20">
        <f>IFERROR(__xludf.DUMMYFUNCTION("""COMPUTED_VALUE"""),0.43808474999999997)</f>
        <v>0.43808475</v>
      </c>
      <c r="G515" s="20">
        <f>IFERROR(__xludf.DUMMYFUNCTION("""COMPUTED_VALUE"""),0.364)</f>
        <v>0.364</v>
      </c>
      <c r="H515" s="23"/>
      <c r="J515" s="22"/>
    </row>
    <row r="516">
      <c r="A516" s="19">
        <f>IFERROR(__xludf.DUMMYFUNCTION("""COMPUTED_VALUE"""),45076.0)</f>
        <v>45076</v>
      </c>
      <c r="B516" s="20">
        <f>IFERROR(__xludf.DUMMYFUNCTION("""COMPUTED_VALUE"""),0.8762599999999999)</f>
        <v>0.87626</v>
      </c>
      <c r="C516" s="21">
        <f>IFERROR(__xludf.DUMMYFUNCTION("""COMPUTED_VALUE"""),0.699)</f>
        <v>0.699</v>
      </c>
      <c r="D516" s="21">
        <f>IFERROR(__xludf.DUMMYFUNCTION("""COMPUTED_VALUE"""),1.2645)</f>
        <v>1.2645</v>
      </c>
      <c r="E516" s="20">
        <f>IFERROR(__xludf.DUMMYFUNCTION("""COMPUTED_VALUE"""),0.29914142857142856)</f>
        <v>0.2991414286</v>
      </c>
      <c r="F516" s="20">
        <f>IFERROR(__xludf.DUMMYFUNCTION("""COMPUTED_VALUE"""),0.4281624107142857)</f>
        <v>0.4281624107</v>
      </c>
      <c r="G516" s="20">
        <f>IFERROR(__xludf.DUMMYFUNCTION("""COMPUTED_VALUE"""),0.364)</f>
        <v>0.364</v>
      </c>
      <c r="H516" s="23"/>
      <c r="J516" s="22"/>
    </row>
    <row r="517">
      <c r="A517" s="19">
        <f>IFERROR(__xludf.DUMMYFUNCTION("""COMPUTED_VALUE"""),45077.0)</f>
        <v>45077</v>
      </c>
      <c r="B517" s="20">
        <f>IFERROR(__xludf.DUMMYFUNCTION("""COMPUTED_VALUE"""),0.8762599999999999)</f>
        <v>0.87626</v>
      </c>
      <c r="C517" s="21">
        <f>IFERROR(__xludf.DUMMYFUNCTION("""COMPUTED_VALUE"""),0.699)</f>
        <v>0.699</v>
      </c>
      <c r="D517" s="21">
        <f>IFERROR(__xludf.DUMMYFUNCTION("""COMPUTED_VALUE"""),1.2645)</f>
        <v>1.2645</v>
      </c>
      <c r="E517" s="20">
        <f>IFERROR(__xludf.DUMMYFUNCTION("""COMPUTED_VALUE"""),0.29272142857142863)</f>
        <v>0.2927214286</v>
      </c>
      <c r="F517" s="20">
        <f>IFERROR(__xludf.DUMMYFUNCTION("""COMPUTED_VALUE"""),0.4205455392857143)</f>
        <v>0.4205455393</v>
      </c>
      <c r="G517" s="20">
        <f>IFERROR(__xludf.DUMMYFUNCTION("""COMPUTED_VALUE"""),0.364)</f>
        <v>0.364</v>
      </c>
      <c r="H517" s="23"/>
      <c r="J517" s="22"/>
    </row>
    <row r="518">
      <c r="A518" s="19">
        <f>IFERROR(__xludf.DUMMYFUNCTION("""COMPUTED_VALUE"""),45078.0)</f>
        <v>45078</v>
      </c>
      <c r="B518" s="20">
        <f>IFERROR(__xludf.DUMMYFUNCTION("""COMPUTED_VALUE"""),0.8762599999999999)</f>
        <v>0.87626</v>
      </c>
      <c r="C518" s="21">
        <f>IFERROR(__xludf.DUMMYFUNCTION("""COMPUTED_VALUE"""),0.699)</f>
        <v>0.699</v>
      </c>
      <c r="D518" s="21">
        <f>IFERROR(__xludf.DUMMYFUNCTION("""COMPUTED_VALUE"""),1.2645)</f>
        <v>1.2645</v>
      </c>
      <c r="E518" s="20">
        <f>IFERROR(__xludf.DUMMYFUNCTION("""COMPUTED_VALUE"""),0.28721857142857143)</f>
        <v>0.2872185714</v>
      </c>
      <c r="F518" s="20">
        <f>IFERROR(__xludf.DUMMYFUNCTION("""COMPUTED_VALUE"""),0.41428833214285715)</f>
        <v>0.4142883321</v>
      </c>
      <c r="G518" s="20">
        <f>IFERROR(__xludf.DUMMYFUNCTION("""COMPUTED_VALUE"""),0.354)</f>
        <v>0.354</v>
      </c>
      <c r="H518" s="23"/>
      <c r="J518" s="22"/>
    </row>
    <row r="519">
      <c r="A519" s="19">
        <f>IFERROR(__xludf.DUMMYFUNCTION("""COMPUTED_VALUE"""),45079.0)</f>
        <v>45079</v>
      </c>
      <c r="B519" s="20">
        <f>IFERROR(__xludf.DUMMYFUNCTION("""COMPUTED_VALUE"""),0.8762599999999999)</f>
        <v>0.87626</v>
      </c>
      <c r="C519" s="21">
        <f>IFERROR(__xludf.DUMMYFUNCTION("""COMPUTED_VALUE"""),0.699)</f>
        <v>0.699</v>
      </c>
      <c r="D519" s="21">
        <f>IFERROR(__xludf.DUMMYFUNCTION("""COMPUTED_VALUE"""),1.2645)</f>
        <v>1.2645</v>
      </c>
      <c r="E519" s="20">
        <f>IFERROR(__xludf.DUMMYFUNCTION("""COMPUTED_VALUE"""),0.27988142857142856)</f>
        <v>0.2798814286</v>
      </c>
      <c r="F519" s="20">
        <f>IFERROR(__xludf.DUMMYFUNCTION("""COMPUTED_VALUE"""),0.41179790714285713)</f>
        <v>0.4117979071</v>
      </c>
      <c r="G519" s="20">
        <f>IFERROR(__xludf.DUMMYFUNCTION("""COMPUTED_VALUE"""),0.354)</f>
        <v>0.354</v>
      </c>
      <c r="H519" s="23"/>
      <c r="J519" s="22"/>
    </row>
    <row r="520">
      <c r="A520" s="19">
        <f>IFERROR(__xludf.DUMMYFUNCTION("""COMPUTED_VALUE"""),45080.0)</f>
        <v>45080</v>
      </c>
      <c r="B520" s="20">
        <f>IFERROR(__xludf.DUMMYFUNCTION("""COMPUTED_VALUE"""),0.8762599999999999)</f>
        <v>0.87626</v>
      </c>
      <c r="C520" s="21">
        <f>IFERROR(__xludf.DUMMYFUNCTION("""COMPUTED_VALUE"""),0.699)</f>
        <v>0.699</v>
      </c>
      <c r="D520" s="21">
        <f>IFERROR(__xludf.DUMMYFUNCTION("""COMPUTED_VALUE"""),1.2645)</f>
        <v>1.2645</v>
      </c>
      <c r="E520" s="20">
        <f>IFERROR(__xludf.DUMMYFUNCTION("""COMPUTED_VALUE"""),0.27697714285714287)</f>
        <v>0.2769771429</v>
      </c>
      <c r="F520" s="20">
        <f>IFERROR(__xludf.DUMMYFUNCTION("""COMPUTED_VALUE"""),0.4093074821428571)</f>
        <v>0.4093074821</v>
      </c>
      <c r="G520" s="20">
        <f>IFERROR(__xludf.DUMMYFUNCTION("""COMPUTED_VALUE"""),0.354)</f>
        <v>0.354</v>
      </c>
      <c r="H520" s="23"/>
      <c r="J520" s="22"/>
    </row>
    <row r="521">
      <c r="A521" s="19">
        <f>IFERROR(__xludf.DUMMYFUNCTION("""COMPUTED_VALUE"""),45081.0)</f>
        <v>45081</v>
      </c>
      <c r="B521" s="20">
        <f>IFERROR(__xludf.DUMMYFUNCTION("""COMPUTED_VALUE"""),0.8762599999999999)</f>
        <v>0.87626</v>
      </c>
      <c r="C521" s="21">
        <f>IFERROR(__xludf.DUMMYFUNCTION("""COMPUTED_VALUE"""),0.699)</f>
        <v>0.699</v>
      </c>
      <c r="D521" s="21">
        <f>IFERROR(__xludf.DUMMYFUNCTION("""COMPUTED_VALUE"""),1.2645)</f>
        <v>1.2645</v>
      </c>
      <c r="E521" s="20">
        <f>IFERROR(__xludf.DUMMYFUNCTION("""COMPUTED_VALUE"""),0.2740728571428571)</f>
        <v>0.2740728571</v>
      </c>
      <c r="F521" s="20">
        <f>IFERROR(__xludf.DUMMYFUNCTION("""COMPUTED_VALUE"""),0.40681705714285704)</f>
        <v>0.4068170571</v>
      </c>
      <c r="G521" s="20">
        <f>IFERROR(__xludf.DUMMYFUNCTION("""COMPUTED_VALUE"""),0.354)</f>
        <v>0.354</v>
      </c>
      <c r="H521" s="23"/>
      <c r="J521" s="22"/>
    </row>
    <row r="522">
      <c r="A522" s="19">
        <f>IFERROR(__xludf.DUMMYFUNCTION("""COMPUTED_VALUE"""),45082.0)</f>
        <v>45082</v>
      </c>
      <c r="B522" s="20">
        <f>IFERROR(__xludf.DUMMYFUNCTION("""COMPUTED_VALUE"""),0.8762599999999999)</f>
        <v>0.87626</v>
      </c>
      <c r="C522" s="21">
        <f>IFERROR(__xludf.DUMMYFUNCTION("""COMPUTED_VALUE"""),0.699)</f>
        <v>0.699</v>
      </c>
      <c r="D522" s="21">
        <f>IFERROR(__xludf.DUMMYFUNCTION("""COMPUTED_VALUE"""),1.2645)</f>
        <v>1.2645</v>
      </c>
      <c r="E522" s="20">
        <f>IFERROR(__xludf.DUMMYFUNCTION("""COMPUTED_VALUE"""),0.27101571428571425)</f>
        <v>0.2710157143</v>
      </c>
      <c r="F522" s="20">
        <f>IFERROR(__xludf.DUMMYFUNCTION("""COMPUTED_VALUE"""),0.40878012499999994)</f>
        <v>0.408780125</v>
      </c>
      <c r="G522" s="20">
        <f>IFERROR(__xludf.DUMMYFUNCTION("""COMPUTED_VALUE"""),0.354)</f>
        <v>0.354</v>
      </c>
      <c r="H522" s="23"/>
      <c r="J522" s="22"/>
    </row>
    <row r="523">
      <c r="A523" s="19">
        <f>IFERROR(__xludf.DUMMYFUNCTION("""COMPUTED_VALUE"""),45083.0)</f>
        <v>45083</v>
      </c>
      <c r="B523" s="20">
        <f>IFERROR(__xludf.DUMMYFUNCTION("""COMPUTED_VALUE"""),0.8762599999999999)</f>
        <v>0.87626</v>
      </c>
      <c r="C523" s="21">
        <f>IFERROR(__xludf.DUMMYFUNCTION("""COMPUTED_VALUE"""),0.699)</f>
        <v>0.699</v>
      </c>
      <c r="D523" s="21">
        <f>IFERROR(__xludf.DUMMYFUNCTION("""COMPUTED_VALUE"""),1.2645)</f>
        <v>1.2645</v>
      </c>
      <c r="E523" s="20">
        <f>IFERROR(__xludf.DUMMYFUNCTION("""COMPUTED_VALUE"""),0.26902857142857145)</f>
        <v>0.2690285714</v>
      </c>
      <c r="F523" s="20">
        <f>IFERROR(__xludf.DUMMYFUNCTION("""COMPUTED_VALUE"""),0.4068418964285714)</f>
        <v>0.4068418964</v>
      </c>
      <c r="G523" s="20">
        <f>IFERROR(__xludf.DUMMYFUNCTION("""COMPUTED_VALUE"""),0.354)</f>
        <v>0.354</v>
      </c>
      <c r="H523" s="23"/>
      <c r="J523" s="22"/>
    </row>
    <row r="524">
      <c r="A524" s="19">
        <f>IFERROR(__xludf.DUMMYFUNCTION("""COMPUTED_VALUE"""),45084.0)</f>
        <v>45084</v>
      </c>
      <c r="B524" s="20">
        <f>IFERROR(__xludf.DUMMYFUNCTION("""COMPUTED_VALUE"""),0.8762599999999999)</f>
        <v>0.87626</v>
      </c>
      <c r="C524" s="21">
        <f>IFERROR(__xludf.DUMMYFUNCTION("""COMPUTED_VALUE"""),0.699)</f>
        <v>0.699</v>
      </c>
      <c r="D524" s="21">
        <f>IFERROR(__xludf.DUMMYFUNCTION("""COMPUTED_VALUE"""),1.2645)</f>
        <v>1.2645</v>
      </c>
      <c r="E524" s="20">
        <f>IFERROR(__xludf.DUMMYFUNCTION("""COMPUTED_VALUE"""),0.26772928571428567)</f>
        <v>0.2677292857</v>
      </c>
      <c r="F524" s="20">
        <f>IFERROR(__xludf.DUMMYFUNCTION("""COMPUTED_VALUE"""),0.40411263214285714)</f>
        <v>0.4041126321</v>
      </c>
      <c r="G524" s="20">
        <f>IFERROR(__xludf.DUMMYFUNCTION("""COMPUTED_VALUE"""),0.354)</f>
        <v>0.354</v>
      </c>
      <c r="H524" s="23"/>
      <c r="J524" s="22"/>
    </row>
    <row r="525">
      <c r="A525" s="19">
        <f>IFERROR(__xludf.DUMMYFUNCTION("""COMPUTED_VALUE"""),45085.0)</f>
        <v>45085</v>
      </c>
      <c r="B525" s="20">
        <f>IFERROR(__xludf.DUMMYFUNCTION("""COMPUTED_VALUE"""),0.8762599999999999)</f>
        <v>0.87626</v>
      </c>
      <c r="C525" s="21">
        <f>IFERROR(__xludf.DUMMYFUNCTION("""COMPUTED_VALUE"""),0.699)</f>
        <v>0.699</v>
      </c>
      <c r="D525" s="21">
        <f>IFERROR(__xludf.DUMMYFUNCTION("""COMPUTED_VALUE"""),1.2645)</f>
        <v>1.2645</v>
      </c>
      <c r="E525" s="20">
        <f>IFERROR(__xludf.DUMMYFUNCTION("""COMPUTED_VALUE"""),0.26834071428571427)</f>
        <v>0.2683407143</v>
      </c>
      <c r="F525" s="20">
        <f>IFERROR(__xludf.DUMMYFUNCTION("""COMPUTED_VALUE"""),0.4066408892857143)</f>
        <v>0.4066408893</v>
      </c>
      <c r="G525" s="20">
        <f>IFERROR(__xludf.DUMMYFUNCTION("""COMPUTED_VALUE"""),0.354)</f>
        <v>0.354</v>
      </c>
      <c r="H525" s="23"/>
      <c r="J525" s="22"/>
    </row>
    <row r="526">
      <c r="A526" s="19">
        <f>IFERROR(__xludf.DUMMYFUNCTION("""COMPUTED_VALUE"""),45086.0)</f>
        <v>45086</v>
      </c>
      <c r="B526" s="20">
        <f>IFERROR(__xludf.DUMMYFUNCTION("""COMPUTED_VALUE"""),0.8762599999999999)</f>
        <v>0.87626</v>
      </c>
      <c r="C526" s="21">
        <f>IFERROR(__xludf.DUMMYFUNCTION("""COMPUTED_VALUE"""),0.699)</f>
        <v>0.699</v>
      </c>
      <c r="D526" s="21">
        <f>IFERROR(__xludf.DUMMYFUNCTION("""COMPUTED_VALUE"""),1.2645)</f>
        <v>1.2645</v>
      </c>
      <c r="E526" s="20">
        <f>IFERROR(__xludf.DUMMYFUNCTION("""COMPUTED_VALUE"""),0.27712999999999993)</f>
        <v>0.27713</v>
      </c>
      <c r="F526" s="20">
        <f>IFERROR(__xludf.DUMMYFUNCTION("""COMPUTED_VALUE"""),0.4153495428571428)</f>
        <v>0.4153495429</v>
      </c>
      <c r="G526" s="20">
        <f>IFERROR(__xludf.DUMMYFUNCTION("""COMPUTED_VALUE"""),0.354)</f>
        <v>0.354</v>
      </c>
      <c r="H526" s="23"/>
      <c r="J526" s="22"/>
    </row>
    <row r="527">
      <c r="A527" s="19">
        <f>IFERROR(__xludf.DUMMYFUNCTION("""COMPUTED_VALUE"""),45087.0)</f>
        <v>45087</v>
      </c>
      <c r="B527" s="20">
        <f>IFERROR(__xludf.DUMMYFUNCTION("""COMPUTED_VALUE"""),0.8762599999999999)</f>
        <v>0.87626</v>
      </c>
      <c r="C527" s="21">
        <f>IFERROR(__xludf.DUMMYFUNCTION("""COMPUTED_VALUE"""),0.699)</f>
        <v>0.699</v>
      </c>
      <c r="D527" s="21">
        <f>IFERROR(__xludf.DUMMYFUNCTION("""COMPUTED_VALUE"""),1.2645)</f>
        <v>1.2645</v>
      </c>
      <c r="E527" s="20">
        <f>IFERROR(__xludf.DUMMYFUNCTION("""COMPUTED_VALUE"""),0.2918042857142856)</f>
        <v>0.2918042857</v>
      </c>
      <c r="F527" s="20">
        <f>IFERROR(__xludf.DUMMYFUNCTION("""COMPUTED_VALUE"""),0.4240581964285714)</f>
        <v>0.4240581964</v>
      </c>
      <c r="G527" s="20">
        <f>IFERROR(__xludf.DUMMYFUNCTION("""COMPUTED_VALUE"""),0.354)</f>
        <v>0.354</v>
      </c>
      <c r="H527" s="23"/>
      <c r="J527" s="22"/>
    </row>
    <row r="528">
      <c r="A528" s="19">
        <f>IFERROR(__xludf.DUMMYFUNCTION("""COMPUTED_VALUE"""),45088.0)</f>
        <v>45088</v>
      </c>
      <c r="B528" s="20">
        <f>IFERROR(__xludf.DUMMYFUNCTION("""COMPUTED_VALUE"""),0.8762599999999999)</f>
        <v>0.87626</v>
      </c>
      <c r="C528" s="21">
        <f>IFERROR(__xludf.DUMMYFUNCTION("""COMPUTED_VALUE"""),0.699)</f>
        <v>0.699</v>
      </c>
      <c r="D528" s="21">
        <f>IFERROR(__xludf.DUMMYFUNCTION("""COMPUTED_VALUE"""),1.2645)</f>
        <v>1.2645</v>
      </c>
      <c r="E528" s="20">
        <f>IFERROR(__xludf.DUMMYFUNCTION("""COMPUTED_VALUE"""),0.3064785714285714)</f>
        <v>0.3064785714</v>
      </c>
      <c r="F528" s="20">
        <f>IFERROR(__xludf.DUMMYFUNCTION("""COMPUTED_VALUE"""),0.43276685)</f>
        <v>0.43276685</v>
      </c>
      <c r="G528" s="20">
        <f>IFERROR(__xludf.DUMMYFUNCTION("""COMPUTED_VALUE"""),0.354)</f>
        <v>0.354</v>
      </c>
      <c r="H528" s="23"/>
      <c r="J528" s="22"/>
    </row>
    <row r="529">
      <c r="A529" s="19">
        <f>IFERROR(__xludf.DUMMYFUNCTION("""COMPUTED_VALUE"""),45089.0)</f>
        <v>45089</v>
      </c>
      <c r="B529" s="20">
        <f>IFERROR(__xludf.DUMMYFUNCTION("""COMPUTED_VALUE"""),0.8351117647058823)</f>
        <v>0.8351117647</v>
      </c>
      <c r="C529" s="21">
        <f>IFERROR(__xludf.DUMMYFUNCTION("""COMPUTED_VALUE"""),0.6385000000000001)</f>
        <v>0.6385</v>
      </c>
      <c r="D529" s="21">
        <f>IFERROR(__xludf.DUMMYFUNCTION("""COMPUTED_VALUE"""),1.1865)</f>
        <v>1.1865</v>
      </c>
      <c r="E529" s="20">
        <f>IFERROR(__xludf.DUMMYFUNCTION("""COMPUTED_VALUE"""),0.3194714285714286)</f>
        <v>0.3194714286</v>
      </c>
      <c r="F529" s="20">
        <f>IFERROR(__xludf.DUMMYFUNCTION("""COMPUTED_VALUE"""),0.43733574999999997)</f>
        <v>0.43733575</v>
      </c>
      <c r="G529" s="20">
        <f>IFERROR(__xludf.DUMMYFUNCTION("""COMPUTED_VALUE"""),0.354)</f>
        <v>0.354</v>
      </c>
      <c r="H529" s="23"/>
      <c r="J529" s="22"/>
    </row>
    <row r="530">
      <c r="A530" s="19">
        <f>IFERROR(__xludf.DUMMYFUNCTION("""COMPUTED_VALUE"""),45090.0)</f>
        <v>45090</v>
      </c>
      <c r="B530" s="20">
        <f>IFERROR(__xludf.DUMMYFUNCTION("""COMPUTED_VALUE"""),0.8351117647058823)</f>
        <v>0.8351117647</v>
      </c>
      <c r="C530" s="21">
        <f>IFERROR(__xludf.DUMMYFUNCTION("""COMPUTED_VALUE"""),0.6385000000000001)</f>
        <v>0.6385</v>
      </c>
      <c r="D530" s="21">
        <f>IFERROR(__xludf.DUMMYFUNCTION("""COMPUTED_VALUE"""),1.1865)</f>
        <v>1.1865</v>
      </c>
      <c r="E530" s="20">
        <f>IFERROR(__xludf.DUMMYFUNCTION("""COMPUTED_VALUE"""),0.32482142857142854)</f>
        <v>0.3248214286</v>
      </c>
      <c r="F530" s="20">
        <f>IFERROR(__xludf.DUMMYFUNCTION("""COMPUTED_VALUE"""),0.45171081785714284)</f>
        <v>0.4517108179</v>
      </c>
      <c r="G530" s="20">
        <f>IFERROR(__xludf.DUMMYFUNCTION("""COMPUTED_VALUE"""),0.354)</f>
        <v>0.354</v>
      </c>
      <c r="H530" s="23"/>
      <c r="J530" s="22"/>
    </row>
    <row r="531">
      <c r="A531" s="19">
        <f>IFERROR(__xludf.DUMMYFUNCTION("""COMPUTED_VALUE"""),45091.0)</f>
        <v>45091</v>
      </c>
      <c r="B531" s="20">
        <f>IFERROR(__xludf.DUMMYFUNCTION("""COMPUTED_VALUE"""),0.8351117647058823)</f>
        <v>0.8351117647</v>
      </c>
      <c r="C531" s="21">
        <f>IFERROR(__xludf.DUMMYFUNCTION("""COMPUTED_VALUE"""),0.6385000000000001)</f>
        <v>0.6385</v>
      </c>
      <c r="D531" s="21">
        <f>IFERROR(__xludf.DUMMYFUNCTION("""COMPUTED_VALUE"""),1.1865)</f>
        <v>1.1865</v>
      </c>
      <c r="E531" s="20">
        <f>IFERROR(__xludf.DUMMYFUNCTION("""COMPUTED_VALUE"""),0.3368207142857143)</f>
        <v>0.3368207143</v>
      </c>
      <c r="F531" s="20">
        <f>IFERROR(__xludf.DUMMYFUNCTION("""COMPUTED_VALUE"""),0.46983547142857146)</f>
        <v>0.4698354714</v>
      </c>
      <c r="G531" s="20">
        <f>IFERROR(__xludf.DUMMYFUNCTION("""COMPUTED_VALUE"""),0.354)</f>
        <v>0.354</v>
      </c>
      <c r="H531" s="23"/>
      <c r="J531" s="22"/>
    </row>
    <row r="532">
      <c r="A532" s="19">
        <f>IFERROR(__xludf.DUMMYFUNCTION("""COMPUTED_VALUE"""),45092.0)</f>
        <v>45092</v>
      </c>
      <c r="B532" s="20">
        <f>IFERROR(__xludf.DUMMYFUNCTION("""COMPUTED_VALUE"""),0.8351117647058823)</f>
        <v>0.8351117647</v>
      </c>
      <c r="C532" s="21">
        <f>IFERROR(__xludf.DUMMYFUNCTION("""COMPUTED_VALUE"""),0.6385000000000001)</f>
        <v>0.6385</v>
      </c>
      <c r="D532" s="21">
        <f>IFERROR(__xludf.DUMMYFUNCTION("""COMPUTED_VALUE"""),1.1865)</f>
        <v>1.1865</v>
      </c>
      <c r="E532" s="20">
        <f>IFERROR(__xludf.DUMMYFUNCTION("""COMPUTED_VALUE"""),0.35684499999999997)</f>
        <v>0.356845</v>
      </c>
      <c r="F532" s="20">
        <f>IFERROR(__xludf.DUMMYFUNCTION("""COMPUTED_VALUE"""),0.4903584535714285)</f>
        <v>0.4903584536</v>
      </c>
      <c r="G532" s="20">
        <f>IFERROR(__xludf.DUMMYFUNCTION("""COMPUTED_VALUE"""),0.354)</f>
        <v>0.354</v>
      </c>
      <c r="H532" s="23"/>
      <c r="J532" s="22"/>
    </row>
    <row r="533">
      <c r="A533" s="19">
        <f>IFERROR(__xludf.DUMMYFUNCTION("""COMPUTED_VALUE"""),45093.0)</f>
        <v>45093</v>
      </c>
      <c r="B533" s="20">
        <f>IFERROR(__xludf.DUMMYFUNCTION("""COMPUTED_VALUE"""),0.8351117647058823)</f>
        <v>0.8351117647</v>
      </c>
      <c r="C533" s="21">
        <f>IFERROR(__xludf.DUMMYFUNCTION("""COMPUTED_VALUE"""),0.6385000000000001)</f>
        <v>0.6385</v>
      </c>
      <c r="D533" s="21">
        <f>IFERROR(__xludf.DUMMYFUNCTION("""COMPUTED_VALUE"""),1.1865)</f>
        <v>1.1865</v>
      </c>
      <c r="E533" s="20">
        <f>IFERROR(__xludf.DUMMYFUNCTION("""COMPUTED_VALUE"""),0.3784742857142857)</f>
        <v>0.3784742857</v>
      </c>
      <c r="F533" s="20">
        <f>IFERROR(__xludf.DUMMYFUNCTION("""COMPUTED_VALUE"""),0.4965579571428571)</f>
        <v>0.4965579571</v>
      </c>
      <c r="G533" s="20">
        <f>IFERROR(__xludf.DUMMYFUNCTION("""COMPUTED_VALUE"""),0.354)</f>
        <v>0.354</v>
      </c>
      <c r="H533" s="23"/>
      <c r="J533" s="22"/>
    </row>
    <row r="534">
      <c r="A534" s="19">
        <f>IFERROR(__xludf.DUMMYFUNCTION("""COMPUTED_VALUE"""),45094.0)</f>
        <v>45094</v>
      </c>
      <c r="B534" s="20">
        <f>IFERROR(__xludf.DUMMYFUNCTION("""COMPUTED_VALUE"""),0.8351117647058823)</f>
        <v>0.8351117647</v>
      </c>
      <c r="C534" s="21">
        <f>IFERROR(__xludf.DUMMYFUNCTION("""COMPUTED_VALUE"""),0.6385000000000001)</f>
        <v>0.6385</v>
      </c>
      <c r="D534" s="21">
        <f>IFERROR(__xludf.DUMMYFUNCTION("""COMPUTED_VALUE"""),1.1865)</f>
        <v>1.1865</v>
      </c>
      <c r="E534" s="20">
        <f>IFERROR(__xludf.DUMMYFUNCTION("""COMPUTED_VALUE"""),0.38397714285714285)</f>
        <v>0.3839771429</v>
      </c>
      <c r="F534" s="20">
        <f>IFERROR(__xludf.DUMMYFUNCTION("""COMPUTED_VALUE"""),0.5027574607142856)</f>
        <v>0.5027574607</v>
      </c>
      <c r="G534" s="20">
        <f>IFERROR(__xludf.DUMMYFUNCTION("""COMPUTED_VALUE"""),0.354)</f>
        <v>0.354</v>
      </c>
      <c r="H534" s="23"/>
      <c r="J534" s="22"/>
    </row>
    <row r="535">
      <c r="A535" s="19">
        <f>IFERROR(__xludf.DUMMYFUNCTION("""COMPUTED_VALUE"""),45095.0)</f>
        <v>45095</v>
      </c>
      <c r="B535" s="20">
        <f>IFERROR(__xludf.DUMMYFUNCTION("""COMPUTED_VALUE"""),0.8351117647058823)</f>
        <v>0.8351117647</v>
      </c>
      <c r="C535" s="21">
        <f>IFERROR(__xludf.DUMMYFUNCTION("""COMPUTED_VALUE"""),0.6385000000000001)</f>
        <v>0.6385</v>
      </c>
      <c r="D535" s="21">
        <f>IFERROR(__xludf.DUMMYFUNCTION("""COMPUTED_VALUE"""),1.1865)</f>
        <v>1.1865</v>
      </c>
      <c r="E535" s="20">
        <f>IFERROR(__xludf.DUMMYFUNCTION("""COMPUTED_VALUE"""),0.38948)</f>
        <v>0.38948</v>
      </c>
      <c r="F535" s="20">
        <f>IFERROR(__xludf.DUMMYFUNCTION("""COMPUTED_VALUE"""),0.5089569642857142)</f>
        <v>0.5089569643</v>
      </c>
      <c r="G535" s="20">
        <f>IFERROR(__xludf.DUMMYFUNCTION("""COMPUTED_VALUE"""),0.354)</f>
        <v>0.354</v>
      </c>
      <c r="H535" s="23"/>
      <c r="J535" s="22"/>
    </row>
    <row r="536">
      <c r="A536" s="19">
        <f>IFERROR(__xludf.DUMMYFUNCTION("""COMPUTED_VALUE"""),45096.0)</f>
        <v>45096</v>
      </c>
      <c r="B536" s="20">
        <f>IFERROR(__xludf.DUMMYFUNCTION("""COMPUTED_VALUE"""),0.8351117647058823)</f>
        <v>0.8351117647</v>
      </c>
      <c r="C536" s="21">
        <f>IFERROR(__xludf.DUMMYFUNCTION("""COMPUTED_VALUE"""),0.6385000000000001)</f>
        <v>0.6385</v>
      </c>
      <c r="D536" s="21">
        <f>IFERROR(__xludf.DUMMYFUNCTION("""COMPUTED_VALUE"""),1.1865)</f>
        <v>1.1865</v>
      </c>
      <c r="E536" s="20">
        <f>IFERROR(__xludf.DUMMYFUNCTION("""COMPUTED_VALUE"""),0.39452428571428566)</f>
        <v>0.3945242857</v>
      </c>
      <c r="F536" s="20">
        <f>IFERROR(__xludf.DUMMYFUNCTION("""COMPUTED_VALUE"""),0.5151981214285714)</f>
        <v>0.5151981214</v>
      </c>
      <c r="G536" s="20">
        <f>IFERROR(__xludf.DUMMYFUNCTION("""COMPUTED_VALUE"""),0.354)</f>
        <v>0.354</v>
      </c>
      <c r="H536" s="23"/>
      <c r="J536" s="22"/>
    </row>
    <row r="537">
      <c r="A537" s="19">
        <f>IFERROR(__xludf.DUMMYFUNCTION("""COMPUTED_VALUE"""),45097.0)</f>
        <v>45097</v>
      </c>
      <c r="B537" s="20">
        <f>IFERROR(__xludf.DUMMYFUNCTION("""COMPUTED_VALUE"""),0.8351117647058823)</f>
        <v>0.8351117647</v>
      </c>
      <c r="C537" s="21">
        <f>IFERROR(__xludf.DUMMYFUNCTION("""COMPUTED_VALUE"""),0.6385000000000001)</f>
        <v>0.6385</v>
      </c>
      <c r="D537" s="21">
        <f>IFERROR(__xludf.DUMMYFUNCTION("""COMPUTED_VALUE"""),1.1865)</f>
        <v>1.1865</v>
      </c>
      <c r="E537" s="20">
        <f>IFERROR(__xludf.DUMMYFUNCTION("""COMPUTED_VALUE"""),0.40400142857142857)</f>
        <v>0.4040014286</v>
      </c>
      <c r="F537" s="20">
        <f>IFERROR(__xludf.DUMMYFUNCTION("""COMPUTED_VALUE"""),0.5207132071428571)</f>
        <v>0.5207132071</v>
      </c>
      <c r="G537" s="20">
        <f>IFERROR(__xludf.DUMMYFUNCTION("""COMPUTED_VALUE"""),0.354)</f>
        <v>0.354</v>
      </c>
      <c r="H537" s="23"/>
      <c r="J537" s="22"/>
    </row>
    <row r="538">
      <c r="A538" s="19">
        <f>IFERROR(__xludf.DUMMYFUNCTION("""COMPUTED_VALUE"""),45098.0)</f>
        <v>45098</v>
      </c>
      <c r="B538" s="20">
        <f>IFERROR(__xludf.DUMMYFUNCTION("""COMPUTED_VALUE"""),0.8351117647058823)</f>
        <v>0.8351117647</v>
      </c>
      <c r="C538" s="21">
        <f>IFERROR(__xludf.DUMMYFUNCTION("""COMPUTED_VALUE"""),0.6385000000000001)</f>
        <v>0.6385</v>
      </c>
      <c r="D538" s="21">
        <f>IFERROR(__xludf.DUMMYFUNCTION("""COMPUTED_VALUE"""),1.1865)</f>
        <v>1.1865</v>
      </c>
      <c r="E538" s="20">
        <f>IFERROR(__xludf.DUMMYFUNCTION("""COMPUTED_VALUE"""),0.4151599999999999)</f>
        <v>0.41516</v>
      </c>
      <c r="F538" s="20">
        <f>IFERROR(__xludf.DUMMYFUNCTION("""COMPUTED_VALUE"""),0.5198858678571429)</f>
        <v>0.5198858679</v>
      </c>
      <c r="G538" s="20">
        <f>IFERROR(__xludf.DUMMYFUNCTION("""COMPUTED_VALUE"""),0.354)</f>
        <v>0.354</v>
      </c>
      <c r="H538" s="23"/>
      <c r="J538" s="22"/>
    </row>
    <row r="539">
      <c r="A539" s="19">
        <f>IFERROR(__xludf.DUMMYFUNCTION("""COMPUTED_VALUE"""),45099.0)</f>
        <v>45099</v>
      </c>
      <c r="B539" s="20">
        <f>IFERROR(__xludf.DUMMYFUNCTION("""COMPUTED_VALUE"""),0.8351117647058823)</f>
        <v>0.8351117647</v>
      </c>
      <c r="C539" s="21">
        <f>IFERROR(__xludf.DUMMYFUNCTION("""COMPUTED_VALUE"""),0.6385000000000001)</f>
        <v>0.6385</v>
      </c>
      <c r="D539" s="21">
        <f>IFERROR(__xludf.DUMMYFUNCTION("""COMPUTED_VALUE"""),1.1865)</f>
        <v>1.1865</v>
      </c>
      <c r="E539" s="20">
        <f>IFERROR(__xludf.DUMMYFUNCTION("""COMPUTED_VALUE"""),0.4153128571428571)</f>
        <v>0.4153128571</v>
      </c>
      <c r="F539" s="20">
        <f>IFERROR(__xludf.DUMMYFUNCTION("""COMPUTED_VALUE"""),0.5127653999999999)</f>
        <v>0.5127654</v>
      </c>
      <c r="G539" s="20">
        <f>IFERROR(__xludf.DUMMYFUNCTION("""COMPUTED_VALUE"""),0.354)</f>
        <v>0.354</v>
      </c>
      <c r="H539" s="23"/>
      <c r="J539" s="22"/>
    </row>
    <row r="540">
      <c r="A540" s="19">
        <f>IFERROR(__xludf.DUMMYFUNCTION("""COMPUTED_VALUE"""),45100.0)</f>
        <v>45100</v>
      </c>
      <c r="B540" s="20">
        <f>IFERROR(__xludf.DUMMYFUNCTION("""COMPUTED_VALUE"""),0.8351117647058823)</f>
        <v>0.8351117647</v>
      </c>
      <c r="C540" s="21">
        <f>IFERROR(__xludf.DUMMYFUNCTION("""COMPUTED_VALUE"""),0.6385000000000001)</f>
        <v>0.6385</v>
      </c>
      <c r="D540" s="21">
        <f>IFERROR(__xludf.DUMMYFUNCTION("""COMPUTED_VALUE"""),1.1865)</f>
        <v>1.1865</v>
      </c>
      <c r="E540" s="20">
        <f>IFERROR(__xludf.DUMMYFUNCTION("""COMPUTED_VALUE"""),0.4059121428571428)</f>
        <v>0.4059121429</v>
      </c>
      <c r="F540" s="20">
        <f>IFERROR(__xludf.DUMMYFUNCTION("""COMPUTED_VALUE"""),0.511299882142857)</f>
        <v>0.5112998821</v>
      </c>
      <c r="G540" s="20">
        <f>IFERROR(__xludf.DUMMYFUNCTION("""COMPUTED_VALUE"""),0.354)</f>
        <v>0.354</v>
      </c>
      <c r="H540" s="23"/>
      <c r="J540" s="22"/>
    </row>
    <row r="541">
      <c r="A541" s="19">
        <f>IFERROR(__xludf.DUMMYFUNCTION("""COMPUTED_VALUE"""),45101.0)</f>
        <v>45101</v>
      </c>
      <c r="B541" s="20">
        <f>IFERROR(__xludf.DUMMYFUNCTION("""COMPUTED_VALUE"""),0.8351117647058823)</f>
        <v>0.8351117647</v>
      </c>
      <c r="C541" s="21">
        <f>IFERROR(__xludf.DUMMYFUNCTION("""COMPUTED_VALUE"""),0.6385000000000001)</f>
        <v>0.6385</v>
      </c>
      <c r="D541" s="21">
        <f>IFERROR(__xludf.DUMMYFUNCTION("""COMPUTED_VALUE"""),1.1865)</f>
        <v>1.1865</v>
      </c>
      <c r="E541" s="20">
        <f>IFERROR(__xludf.DUMMYFUNCTION("""COMPUTED_VALUE"""),0.40155571428571424)</f>
        <v>0.4015557143</v>
      </c>
      <c r="F541" s="20">
        <f>IFERROR(__xludf.DUMMYFUNCTION("""COMPUTED_VALUE"""),0.5098343642857143)</f>
        <v>0.5098343643</v>
      </c>
      <c r="G541" s="20">
        <f>IFERROR(__xludf.DUMMYFUNCTION("""COMPUTED_VALUE"""),0.354)</f>
        <v>0.354</v>
      </c>
      <c r="H541" s="23"/>
      <c r="J541" s="22"/>
    </row>
    <row r="542">
      <c r="A542" s="19">
        <f>IFERROR(__xludf.DUMMYFUNCTION("""COMPUTED_VALUE"""),45102.0)</f>
        <v>45102</v>
      </c>
      <c r="B542" s="20">
        <f>IFERROR(__xludf.DUMMYFUNCTION("""COMPUTED_VALUE"""),0.8351117647058823)</f>
        <v>0.8351117647</v>
      </c>
      <c r="C542" s="21">
        <f>IFERROR(__xludf.DUMMYFUNCTION("""COMPUTED_VALUE"""),0.6385000000000001)</f>
        <v>0.6385</v>
      </c>
      <c r="D542" s="21">
        <f>IFERROR(__xludf.DUMMYFUNCTION("""COMPUTED_VALUE"""),1.1865)</f>
        <v>1.1865</v>
      </c>
      <c r="E542" s="20">
        <f>IFERROR(__xludf.DUMMYFUNCTION("""COMPUTED_VALUE"""),0.39719928571428564)</f>
        <v>0.3971992857</v>
      </c>
      <c r="F542" s="20">
        <f>IFERROR(__xludf.DUMMYFUNCTION("""COMPUTED_VALUE"""),0.5083688464285714)</f>
        <v>0.5083688464</v>
      </c>
      <c r="G542" s="20">
        <f>IFERROR(__xludf.DUMMYFUNCTION("""COMPUTED_VALUE"""),0.354)</f>
        <v>0.354</v>
      </c>
      <c r="H542" s="23"/>
      <c r="J542" s="22"/>
    </row>
    <row r="543">
      <c r="A543" s="19">
        <f>IFERROR(__xludf.DUMMYFUNCTION("""COMPUTED_VALUE"""),45103.0)</f>
        <v>45103</v>
      </c>
      <c r="B543" s="20">
        <f>IFERROR(__xludf.DUMMYFUNCTION("""COMPUTED_VALUE"""),0.8252944444444444)</f>
        <v>0.8252944444</v>
      </c>
      <c r="C543" s="21">
        <f>IFERROR(__xludf.DUMMYFUNCTION("""COMPUTED_VALUE"""),0.6369)</f>
        <v>0.6369</v>
      </c>
      <c r="D543" s="21">
        <f>IFERROR(__xludf.DUMMYFUNCTION("""COMPUTED_VALUE"""),1.1865)</f>
        <v>1.1865</v>
      </c>
      <c r="E543" s="20">
        <f>IFERROR(__xludf.DUMMYFUNCTION("""COMPUTED_VALUE"""),0.3930721428571428)</f>
        <v>0.3930721429</v>
      </c>
      <c r="F543" s="20">
        <f>IFERROR(__xludf.DUMMYFUNCTION("""COMPUTED_VALUE"""),0.5063469285714285)</f>
        <v>0.5063469286</v>
      </c>
      <c r="G543" s="20">
        <f>IFERROR(__xludf.DUMMYFUNCTION("""COMPUTED_VALUE"""),0.354)</f>
        <v>0.354</v>
      </c>
      <c r="H543" s="23"/>
      <c r="J543" s="22"/>
    </row>
    <row r="544">
      <c r="A544" s="19">
        <f>IFERROR(__xludf.DUMMYFUNCTION("""COMPUTED_VALUE"""),45104.0)</f>
        <v>45104</v>
      </c>
      <c r="B544" s="20">
        <f>IFERROR(__xludf.DUMMYFUNCTION("""COMPUTED_VALUE"""),0.8252944444444444)</f>
        <v>0.8252944444</v>
      </c>
      <c r="C544" s="21">
        <f>IFERROR(__xludf.DUMMYFUNCTION("""COMPUTED_VALUE"""),0.6369)</f>
        <v>0.6369</v>
      </c>
      <c r="D544" s="21">
        <f>IFERROR(__xludf.DUMMYFUNCTION("""COMPUTED_VALUE"""),1.1865)</f>
        <v>1.1865</v>
      </c>
      <c r="E544" s="20">
        <f>IFERROR(__xludf.DUMMYFUNCTION("""COMPUTED_VALUE"""),0.3890978571428571)</f>
        <v>0.3890978571</v>
      </c>
      <c r="F544" s="20">
        <f>IFERROR(__xludf.DUMMYFUNCTION("""COMPUTED_VALUE"""),0.5008799928571428)</f>
        <v>0.5008799929</v>
      </c>
      <c r="G544" s="20">
        <f>IFERROR(__xludf.DUMMYFUNCTION("""COMPUTED_VALUE"""),0.354)</f>
        <v>0.354</v>
      </c>
      <c r="H544" s="23"/>
      <c r="J544" s="22"/>
    </row>
    <row r="545">
      <c r="A545" s="19">
        <f>IFERROR(__xludf.DUMMYFUNCTION("""COMPUTED_VALUE"""),45105.0)</f>
        <v>45105</v>
      </c>
      <c r="B545" s="20">
        <f>IFERROR(__xludf.DUMMYFUNCTION("""COMPUTED_VALUE"""),0.8252944444444444)</f>
        <v>0.8252944444</v>
      </c>
      <c r="C545" s="21">
        <f>IFERROR(__xludf.DUMMYFUNCTION("""COMPUTED_VALUE"""),0.6369)</f>
        <v>0.6369</v>
      </c>
      <c r="D545" s="21">
        <f>IFERROR(__xludf.DUMMYFUNCTION("""COMPUTED_VALUE"""),1.1865)</f>
        <v>1.1865</v>
      </c>
      <c r="E545" s="20">
        <f>IFERROR(__xludf.DUMMYFUNCTION("""COMPUTED_VALUE"""),0.3790857142857143)</f>
        <v>0.3790857143</v>
      </c>
      <c r="F545" s="20">
        <f>IFERROR(__xludf.DUMMYFUNCTION("""COMPUTED_VALUE"""),0.4964467535714286)</f>
        <v>0.4964467536</v>
      </c>
      <c r="G545" s="20">
        <f>IFERROR(__xludf.DUMMYFUNCTION("""COMPUTED_VALUE"""),0.354)</f>
        <v>0.354</v>
      </c>
      <c r="H545" s="23"/>
      <c r="J545" s="22"/>
    </row>
    <row r="546">
      <c r="A546" s="19">
        <f>IFERROR(__xludf.DUMMYFUNCTION("""COMPUTED_VALUE"""),45106.0)</f>
        <v>45106</v>
      </c>
      <c r="B546" s="20">
        <f>IFERROR(__xludf.DUMMYFUNCTION("""COMPUTED_VALUE"""),0.8252944444444444)</f>
        <v>0.8252944444</v>
      </c>
      <c r="C546" s="21">
        <f>IFERROR(__xludf.DUMMYFUNCTION("""COMPUTED_VALUE"""),0.6369)</f>
        <v>0.6369</v>
      </c>
      <c r="D546" s="21">
        <f>IFERROR(__xludf.DUMMYFUNCTION("""COMPUTED_VALUE"""),1.1865)</f>
        <v>1.1865</v>
      </c>
      <c r="E546" s="20">
        <f>IFERROR(__xludf.DUMMYFUNCTION("""COMPUTED_VALUE"""),0.37327714285714286)</f>
        <v>0.3732771429</v>
      </c>
      <c r="F546" s="20">
        <f>IFERROR(__xludf.DUMMYFUNCTION("""COMPUTED_VALUE"""),0.5015135857142857)</f>
        <v>0.5015135857</v>
      </c>
      <c r="G546" s="20">
        <f>IFERROR(__xludf.DUMMYFUNCTION("""COMPUTED_VALUE"""),0.354)</f>
        <v>0.354</v>
      </c>
      <c r="H546" s="23"/>
      <c r="J546" s="22"/>
    </row>
    <row r="547">
      <c r="A547" s="19">
        <f>IFERROR(__xludf.DUMMYFUNCTION("""COMPUTED_VALUE"""),45107.0)</f>
        <v>45107</v>
      </c>
      <c r="B547" s="20">
        <f>IFERROR(__xludf.DUMMYFUNCTION("""COMPUTED_VALUE"""),0.8252944444444444)</f>
        <v>0.8252944444</v>
      </c>
      <c r="C547" s="21">
        <f>IFERROR(__xludf.DUMMYFUNCTION("""COMPUTED_VALUE"""),0.6369)</f>
        <v>0.6369</v>
      </c>
      <c r="D547" s="21">
        <f>IFERROR(__xludf.DUMMYFUNCTION("""COMPUTED_VALUE"""),1.1865)</f>
        <v>1.1865</v>
      </c>
      <c r="E547" s="20">
        <f>IFERROR(__xludf.DUMMYFUNCTION("""COMPUTED_VALUE"""),0.3744235714285714)</f>
        <v>0.3744235714</v>
      </c>
      <c r="F547" s="20">
        <f>IFERROR(__xludf.DUMMYFUNCTION("""COMPUTED_VALUE"""),0.5112345357142857)</f>
        <v>0.5112345357</v>
      </c>
      <c r="G547" s="20">
        <f>IFERROR(__xludf.DUMMYFUNCTION("""COMPUTED_VALUE"""),0.354)</f>
        <v>0.354</v>
      </c>
      <c r="H547" s="23"/>
      <c r="J547" s="22"/>
    </row>
    <row r="548">
      <c r="A548" s="19">
        <f>IFERROR(__xludf.DUMMYFUNCTION("""COMPUTED_VALUE"""),45108.0)</f>
        <v>45108</v>
      </c>
      <c r="B548" s="20">
        <f>IFERROR(__xludf.DUMMYFUNCTION("""COMPUTED_VALUE"""),0.8252944444444444)</f>
        <v>0.8252944444</v>
      </c>
      <c r="C548" s="21">
        <f>IFERROR(__xludf.DUMMYFUNCTION("""COMPUTED_VALUE"""),0.6369)</f>
        <v>0.6369</v>
      </c>
      <c r="D548" s="21">
        <f>IFERROR(__xludf.DUMMYFUNCTION("""COMPUTED_VALUE"""),1.1865)</f>
        <v>1.1865</v>
      </c>
      <c r="E548" s="20">
        <f>IFERROR(__xludf.DUMMYFUNCTION("""COMPUTED_VALUE"""),0.38168428571428575)</f>
        <v>0.3816842857</v>
      </c>
      <c r="F548" s="20">
        <f>IFERROR(__xludf.DUMMYFUNCTION("""COMPUTED_VALUE"""),0.5209554857142857)</f>
        <v>0.5209554857</v>
      </c>
      <c r="G548" s="20">
        <f>IFERROR(__xludf.DUMMYFUNCTION("""COMPUTED_VALUE"""),0.336)</f>
        <v>0.336</v>
      </c>
      <c r="H548" s="23"/>
      <c r="J548" s="22"/>
    </row>
    <row r="549">
      <c r="A549" s="19">
        <f>IFERROR(__xludf.DUMMYFUNCTION("""COMPUTED_VALUE"""),45109.0)</f>
        <v>45109</v>
      </c>
      <c r="B549" s="20">
        <f>IFERROR(__xludf.DUMMYFUNCTION("""COMPUTED_VALUE"""),0.8252944444444444)</f>
        <v>0.8252944444</v>
      </c>
      <c r="C549" s="21">
        <f>IFERROR(__xludf.DUMMYFUNCTION("""COMPUTED_VALUE"""),0.6369)</f>
        <v>0.6369</v>
      </c>
      <c r="D549" s="21">
        <f>IFERROR(__xludf.DUMMYFUNCTION("""COMPUTED_VALUE"""),1.1865)</f>
        <v>1.1865</v>
      </c>
      <c r="E549" s="20">
        <f>IFERROR(__xludf.DUMMYFUNCTION("""COMPUTED_VALUE"""),0.38894500000000004)</f>
        <v>0.388945</v>
      </c>
      <c r="F549" s="20">
        <f>IFERROR(__xludf.DUMMYFUNCTION("""COMPUTED_VALUE"""),0.5306764357142858)</f>
        <v>0.5306764357</v>
      </c>
      <c r="G549" s="20">
        <f>IFERROR(__xludf.DUMMYFUNCTION("""COMPUTED_VALUE"""),0.336)</f>
        <v>0.336</v>
      </c>
      <c r="H549" s="23"/>
      <c r="J549" s="22"/>
    </row>
    <row r="550">
      <c r="A550" s="19">
        <f>IFERROR(__xludf.DUMMYFUNCTION("""COMPUTED_VALUE"""),45110.0)</f>
        <v>45110</v>
      </c>
      <c r="B550" s="20">
        <f>IFERROR(__xludf.DUMMYFUNCTION("""COMPUTED_VALUE"""),0.8252944444444444)</f>
        <v>0.8252944444</v>
      </c>
      <c r="C550" s="21">
        <f>IFERROR(__xludf.DUMMYFUNCTION("""COMPUTED_VALUE"""),0.6369)</f>
        <v>0.6369</v>
      </c>
      <c r="D550" s="21">
        <f>IFERROR(__xludf.DUMMYFUNCTION("""COMPUTED_VALUE"""),1.1865)</f>
        <v>1.1865</v>
      </c>
      <c r="E550" s="20">
        <f>IFERROR(__xludf.DUMMYFUNCTION("""COMPUTED_VALUE"""),0.3961292857142857)</f>
        <v>0.3961292857</v>
      </c>
      <c r="F550" s="20">
        <f>IFERROR(__xludf.DUMMYFUNCTION("""COMPUTED_VALUE"""),0.5376115642857143)</f>
        <v>0.5376115643</v>
      </c>
      <c r="G550" s="20">
        <f>IFERROR(__xludf.DUMMYFUNCTION("""COMPUTED_VALUE"""),0.336)</f>
        <v>0.336</v>
      </c>
      <c r="H550" s="23"/>
      <c r="J550" s="22"/>
    </row>
    <row r="551">
      <c r="A551" s="19">
        <f>IFERROR(__xludf.DUMMYFUNCTION("""COMPUTED_VALUE"""),45111.0)</f>
        <v>45111</v>
      </c>
      <c r="B551" s="20">
        <f>IFERROR(__xludf.DUMMYFUNCTION("""COMPUTED_VALUE"""),0.8252944444444444)</f>
        <v>0.8252944444</v>
      </c>
      <c r="C551" s="21">
        <f>IFERROR(__xludf.DUMMYFUNCTION("""COMPUTED_VALUE"""),0.6369)</f>
        <v>0.6369</v>
      </c>
      <c r="D551" s="21">
        <f>IFERROR(__xludf.DUMMYFUNCTION("""COMPUTED_VALUE"""),1.1865)</f>
        <v>1.1865</v>
      </c>
      <c r="E551" s="20">
        <f>IFERROR(__xludf.DUMMYFUNCTION("""COMPUTED_VALUE"""),0.3981928571428571)</f>
        <v>0.3981928571</v>
      </c>
      <c r="F551" s="20">
        <f>IFERROR(__xludf.DUMMYFUNCTION("""COMPUTED_VALUE"""),0.5454076607142857)</f>
        <v>0.5454076607</v>
      </c>
      <c r="G551" s="20">
        <f>IFERROR(__xludf.DUMMYFUNCTION("""COMPUTED_VALUE"""),0.336)</f>
        <v>0.336</v>
      </c>
      <c r="H551" s="23"/>
      <c r="J551" s="22"/>
    </row>
    <row r="552">
      <c r="A552" s="19">
        <f>IFERROR(__xludf.DUMMYFUNCTION("""COMPUTED_VALUE"""),45112.0)</f>
        <v>45112</v>
      </c>
      <c r="B552" s="20">
        <f>IFERROR(__xludf.DUMMYFUNCTION("""COMPUTED_VALUE"""),0.8252944444444444)</f>
        <v>0.8252944444</v>
      </c>
      <c r="C552" s="21">
        <f>IFERROR(__xludf.DUMMYFUNCTION("""COMPUTED_VALUE"""),0.6369)</f>
        <v>0.6369</v>
      </c>
      <c r="D552" s="21">
        <f>IFERROR(__xludf.DUMMYFUNCTION("""COMPUTED_VALUE"""),1.1865)</f>
        <v>1.1865</v>
      </c>
      <c r="E552" s="20">
        <f>IFERROR(__xludf.DUMMYFUNCTION("""COMPUTED_VALUE"""),0.39933928571428573)</f>
        <v>0.3993392857</v>
      </c>
      <c r="F552" s="20">
        <f>IFERROR(__xludf.DUMMYFUNCTION("""COMPUTED_VALUE"""),0.5549069678571428)</f>
        <v>0.5549069679</v>
      </c>
      <c r="G552" s="20">
        <f>IFERROR(__xludf.DUMMYFUNCTION("""COMPUTED_VALUE"""),0.336)</f>
        <v>0.336</v>
      </c>
      <c r="H552" s="23"/>
      <c r="J552" s="22"/>
    </row>
    <row r="553">
      <c r="A553" s="19">
        <f>IFERROR(__xludf.DUMMYFUNCTION("""COMPUTED_VALUE"""),45113.0)</f>
        <v>45113</v>
      </c>
      <c r="B553" s="20">
        <f>IFERROR(__xludf.DUMMYFUNCTION("""COMPUTED_VALUE"""),0.8252944444444444)</f>
        <v>0.8252944444</v>
      </c>
      <c r="C553" s="21">
        <f>IFERROR(__xludf.DUMMYFUNCTION("""COMPUTED_VALUE"""),0.6369)</f>
        <v>0.6369</v>
      </c>
      <c r="D553" s="21">
        <f>IFERROR(__xludf.DUMMYFUNCTION("""COMPUTED_VALUE"""),1.1865)</f>
        <v>1.1865</v>
      </c>
      <c r="E553" s="20">
        <f>IFERROR(__xludf.DUMMYFUNCTION("""COMPUTED_VALUE"""),0.40033285714285716)</f>
        <v>0.4003328571</v>
      </c>
      <c r="F553" s="20">
        <f>IFERROR(__xludf.DUMMYFUNCTION("""COMPUTED_VALUE"""),0.5569200964285714)</f>
        <v>0.5569200964</v>
      </c>
      <c r="G553" s="20">
        <f>IFERROR(__xludf.DUMMYFUNCTION("""COMPUTED_VALUE"""),0.336)</f>
        <v>0.336</v>
      </c>
      <c r="H553" s="23"/>
      <c r="J553" s="22"/>
    </row>
    <row r="554">
      <c r="A554" s="19">
        <f>IFERROR(__xludf.DUMMYFUNCTION("""COMPUTED_VALUE"""),45114.0)</f>
        <v>45114</v>
      </c>
      <c r="B554" s="20">
        <f>IFERROR(__xludf.DUMMYFUNCTION("""COMPUTED_VALUE"""),0.8252944444444444)</f>
        <v>0.8252944444</v>
      </c>
      <c r="C554" s="21">
        <f>IFERROR(__xludf.DUMMYFUNCTION("""COMPUTED_VALUE"""),0.6369)</f>
        <v>0.6369</v>
      </c>
      <c r="D554" s="21">
        <f>IFERROR(__xludf.DUMMYFUNCTION("""COMPUTED_VALUE"""),1.1865)</f>
        <v>1.1865</v>
      </c>
      <c r="E554" s="20">
        <f>IFERROR(__xludf.DUMMYFUNCTION("""COMPUTED_VALUE"""),0.3972757142857143)</f>
        <v>0.3972757143</v>
      </c>
      <c r="F554" s="20">
        <f>IFERROR(__xludf.DUMMYFUNCTION("""COMPUTED_VALUE"""),0.55898405)</f>
        <v>0.55898405</v>
      </c>
      <c r="G554" s="20">
        <f>IFERROR(__xludf.DUMMYFUNCTION("""COMPUTED_VALUE"""),0.336)</f>
        <v>0.336</v>
      </c>
      <c r="H554" s="23"/>
      <c r="J554" s="22"/>
    </row>
    <row r="555">
      <c r="A555" s="19">
        <f>IFERROR(__xludf.DUMMYFUNCTION("""COMPUTED_VALUE"""),45115.0)</f>
        <v>45115</v>
      </c>
      <c r="B555" s="20">
        <f>IFERROR(__xludf.DUMMYFUNCTION("""COMPUTED_VALUE"""),0.8252944444444444)</f>
        <v>0.8252944444</v>
      </c>
      <c r="C555" s="21">
        <f>IFERROR(__xludf.DUMMYFUNCTION("""COMPUTED_VALUE"""),0.6369)</f>
        <v>0.6369</v>
      </c>
      <c r="D555" s="21">
        <f>IFERROR(__xludf.DUMMYFUNCTION("""COMPUTED_VALUE"""),1.1865)</f>
        <v>1.1865</v>
      </c>
      <c r="E555" s="20">
        <f>IFERROR(__xludf.DUMMYFUNCTION("""COMPUTED_VALUE"""),0.38909785714285716)</f>
        <v>0.3890978571</v>
      </c>
      <c r="F555" s="20">
        <f>IFERROR(__xludf.DUMMYFUNCTION("""COMPUTED_VALUE"""),0.5610480035714286)</f>
        <v>0.5610480036</v>
      </c>
      <c r="G555" s="20">
        <f>IFERROR(__xludf.DUMMYFUNCTION("""COMPUTED_VALUE"""),0.336)</f>
        <v>0.336</v>
      </c>
      <c r="H555" s="23"/>
      <c r="J555" s="22"/>
    </row>
    <row r="556">
      <c r="A556" s="19">
        <f>IFERROR(__xludf.DUMMYFUNCTION("""COMPUTED_VALUE"""),45116.0)</f>
        <v>45116</v>
      </c>
      <c r="B556" s="20">
        <f>IFERROR(__xludf.DUMMYFUNCTION("""COMPUTED_VALUE"""),0.8252944444444444)</f>
        <v>0.8252944444</v>
      </c>
      <c r="C556" s="21">
        <f>IFERROR(__xludf.DUMMYFUNCTION("""COMPUTED_VALUE"""),0.6369)</f>
        <v>0.6369</v>
      </c>
      <c r="D556" s="21">
        <f>IFERROR(__xludf.DUMMYFUNCTION("""COMPUTED_VALUE"""),1.1865)</f>
        <v>1.1865</v>
      </c>
      <c r="E556" s="20">
        <f>IFERROR(__xludf.DUMMYFUNCTION("""COMPUTED_VALUE"""),0.38092000000000004)</f>
        <v>0.38092</v>
      </c>
      <c r="F556" s="20">
        <f>IFERROR(__xludf.DUMMYFUNCTION("""COMPUTED_VALUE"""),0.5631119571428572)</f>
        <v>0.5631119571</v>
      </c>
      <c r="G556" s="20">
        <f>IFERROR(__xludf.DUMMYFUNCTION("""COMPUTED_VALUE"""),0.336)</f>
        <v>0.336</v>
      </c>
      <c r="H556" s="23"/>
      <c r="J556" s="22"/>
    </row>
    <row r="557">
      <c r="A557" s="19">
        <f>IFERROR(__xludf.DUMMYFUNCTION("""COMPUTED_VALUE"""),45117.0)</f>
        <v>45117</v>
      </c>
      <c r="B557" s="20">
        <f>IFERROR(__xludf.DUMMYFUNCTION("""COMPUTED_VALUE"""),0.8326736842105266)</f>
        <v>0.8326736842</v>
      </c>
      <c r="C557" s="21">
        <f>IFERROR(__xludf.DUMMYFUNCTION("""COMPUTED_VALUE"""),0.6575)</f>
        <v>0.6575</v>
      </c>
      <c r="D557" s="21">
        <f>IFERROR(__xludf.DUMMYFUNCTION("""COMPUTED_VALUE"""),1.2075)</f>
        <v>1.2075</v>
      </c>
      <c r="E557" s="20">
        <f>IFERROR(__xludf.DUMMYFUNCTION("""COMPUTED_VALUE"""),0.3763342857142857)</f>
        <v>0.3763342857</v>
      </c>
      <c r="F557" s="20">
        <f>IFERROR(__xludf.DUMMYFUNCTION("""COMPUTED_VALUE"""),0.5634952464285715)</f>
        <v>0.5634952464</v>
      </c>
      <c r="G557" s="20">
        <f>IFERROR(__xludf.DUMMYFUNCTION("""COMPUTED_VALUE"""),0.336)</f>
        <v>0.336</v>
      </c>
      <c r="H557" s="23"/>
      <c r="J557" s="22"/>
    </row>
    <row r="558">
      <c r="A558" s="19">
        <f>IFERROR(__xludf.DUMMYFUNCTION("""COMPUTED_VALUE"""),45118.0)</f>
        <v>45118</v>
      </c>
      <c r="B558" s="20">
        <f>IFERROR(__xludf.DUMMYFUNCTION("""COMPUTED_VALUE"""),0.8326736842105266)</f>
        <v>0.8326736842</v>
      </c>
      <c r="C558" s="21">
        <f>IFERROR(__xludf.DUMMYFUNCTION("""COMPUTED_VALUE"""),0.6575)</f>
        <v>0.6575</v>
      </c>
      <c r="D558" s="21">
        <f>IFERROR(__xludf.DUMMYFUNCTION("""COMPUTED_VALUE"""),1.2075)</f>
        <v>1.2075</v>
      </c>
      <c r="E558" s="20">
        <f>IFERROR(__xludf.DUMMYFUNCTION("""COMPUTED_VALUE"""),0.37281857142857133)</f>
        <v>0.3728185714</v>
      </c>
      <c r="F558" s="20">
        <f>IFERROR(__xludf.DUMMYFUNCTION("""COMPUTED_VALUE"""),0.5582954285714286)</f>
        <v>0.5582954286</v>
      </c>
      <c r="G558" s="20">
        <f>IFERROR(__xludf.DUMMYFUNCTION("""COMPUTED_VALUE"""),0.336)</f>
        <v>0.336</v>
      </c>
      <c r="H558" s="23"/>
      <c r="J558" s="22"/>
    </row>
    <row r="559">
      <c r="A559" s="19">
        <f>IFERROR(__xludf.DUMMYFUNCTION("""COMPUTED_VALUE"""),45119.0)</f>
        <v>45119</v>
      </c>
      <c r="B559" s="20">
        <f>IFERROR(__xludf.DUMMYFUNCTION("""COMPUTED_VALUE"""),0.8326736842105266)</f>
        <v>0.8326736842</v>
      </c>
      <c r="C559" s="21">
        <f>IFERROR(__xludf.DUMMYFUNCTION("""COMPUTED_VALUE"""),0.6575)</f>
        <v>0.6575</v>
      </c>
      <c r="D559" s="21">
        <f>IFERROR(__xludf.DUMMYFUNCTION("""COMPUTED_VALUE"""),1.2075)</f>
        <v>1.2075</v>
      </c>
      <c r="E559" s="20">
        <f>IFERROR(__xludf.DUMMYFUNCTION("""COMPUTED_VALUE"""),0.36708642857142854)</f>
        <v>0.3670864286</v>
      </c>
      <c r="F559" s="20">
        <f>IFERROR(__xludf.DUMMYFUNCTION("""COMPUTED_VALUE"""),0.5493872964285714)</f>
        <v>0.5493872964</v>
      </c>
      <c r="G559" s="20">
        <f>IFERROR(__xludf.DUMMYFUNCTION("""COMPUTED_VALUE"""),0.336)</f>
        <v>0.336</v>
      </c>
      <c r="H559" s="23"/>
      <c r="J559" s="22"/>
    </row>
    <row r="560">
      <c r="A560" s="19">
        <f>IFERROR(__xludf.DUMMYFUNCTION("""COMPUTED_VALUE"""),45120.0)</f>
        <v>45120</v>
      </c>
      <c r="B560" s="20">
        <f>IFERROR(__xludf.DUMMYFUNCTION("""COMPUTED_VALUE"""),0.8326736842105266)</f>
        <v>0.8326736842</v>
      </c>
      <c r="C560" s="21">
        <f>IFERROR(__xludf.DUMMYFUNCTION("""COMPUTED_VALUE"""),0.6575)</f>
        <v>0.6575</v>
      </c>
      <c r="D560" s="21">
        <f>IFERROR(__xludf.DUMMYFUNCTION("""COMPUTED_VALUE"""),1.2075)</f>
        <v>1.2075</v>
      </c>
      <c r="E560" s="20">
        <f>IFERROR(__xludf.DUMMYFUNCTION("""COMPUTED_VALUE"""),0.3542464285714285)</f>
        <v>0.3542464286</v>
      </c>
      <c r="F560" s="20">
        <f>IFERROR(__xludf.DUMMYFUNCTION("""COMPUTED_VALUE"""),0.5411945357142857)</f>
        <v>0.5411945357</v>
      </c>
      <c r="G560" s="20">
        <f>IFERROR(__xludf.DUMMYFUNCTION("""COMPUTED_VALUE"""),0.336)</f>
        <v>0.336</v>
      </c>
      <c r="H560" s="23"/>
      <c r="J560" s="22"/>
    </row>
    <row r="561">
      <c r="A561" s="19">
        <f>IFERROR(__xludf.DUMMYFUNCTION("""COMPUTED_VALUE"""),45121.0)</f>
        <v>45121</v>
      </c>
      <c r="B561" s="20">
        <f>IFERROR(__xludf.DUMMYFUNCTION("""COMPUTED_VALUE"""),0.8326736842105266)</f>
        <v>0.8326736842</v>
      </c>
      <c r="C561" s="21">
        <f>IFERROR(__xludf.DUMMYFUNCTION("""COMPUTED_VALUE"""),0.6575)</f>
        <v>0.6575</v>
      </c>
      <c r="D561" s="21">
        <f>IFERROR(__xludf.DUMMYFUNCTION("""COMPUTED_VALUE"""),1.2075)</f>
        <v>1.2075</v>
      </c>
      <c r="E561" s="20">
        <f>IFERROR(__xludf.DUMMYFUNCTION("""COMPUTED_VALUE"""),0.34492214285714284)</f>
        <v>0.3449221429</v>
      </c>
      <c r="F561" s="20">
        <f>IFERROR(__xludf.DUMMYFUNCTION("""COMPUTED_VALUE"""),0.5310452035714286)</f>
        <v>0.5310452036</v>
      </c>
      <c r="G561" s="20">
        <f>IFERROR(__xludf.DUMMYFUNCTION("""COMPUTED_VALUE"""),0.336)</f>
        <v>0.336</v>
      </c>
      <c r="H561" s="23"/>
      <c r="J561" s="22"/>
    </row>
    <row r="562">
      <c r="A562" s="19">
        <f>IFERROR(__xludf.DUMMYFUNCTION("""COMPUTED_VALUE"""),45122.0)</f>
        <v>45122</v>
      </c>
      <c r="B562" s="20">
        <f>IFERROR(__xludf.DUMMYFUNCTION("""COMPUTED_VALUE"""),0.8326736842105266)</f>
        <v>0.8326736842</v>
      </c>
      <c r="C562" s="21">
        <f>IFERROR(__xludf.DUMMYFUNCTION("""COMPUTED_VALUE"""),0.6575)</f>
        <v>0.6575</v>
      </c>
      <c r="D562" s="21">
        <f>IFERROR(__xludf.DUMMYFUNCTION("""COMPUTED_VALUE"""),1.2075)</f>
        <v>1.2075</v>
      </c>
      <c r="E562" s="20">
        <f>IFERROR(__xludf.DUMMYFUNCTION("""COMPUTED_VALUE"""),0.3345278571428571)</f>
        <v>0.3345278571</v>
      </c>
      <c r="F562" s="20">
        <f>IFERROR(__xludf.DUMMYFUNCTION("""COMPUTED_VALUE"""),0.5208958714285714)</f>
        <v>0.5208958714</v>
      </c>
      <c r="G562" s="20">
        <f>IFERROR(__xludf.DUMMYFUNCTION("""COMPUTED_VALUE"""),0.336)</f>
        <v>0.336</v>
      </c>
      <c r="H562" s="23"/>
      <c r="J562" s="22"/>
    </row>
    <row r="563">
      <c r="A563" s="19">
        <f>IFERROR(__xludf.DUMMYFUNCTION("""COMPUTED_VALUE"""),45123.0)</f>
        <v>45123</v>
      </c>
      <c r="B563" s="20">
        <f>IFERROR(__xludf.DUMMYFUNCTION("""COMPUTED_VALUE"""),0.8326736842105266)</f>
        <v>0.8326736842</v>
      </c>
      <c r="C563" s="21">
        <f>IFERROR(__xludf.DUMMYFUNCTION("""COMPUTED_VALUE"""),0.6575)</f>
        <v>0.6575</v>
      </c>
      <c r="D563" s="21">
        <f>IFERROR(__xludf.DUMMYFUNCTION("""COMPUTED_VALUE"""),1.2075)</f>
        <v>1.2075</v>
      </c>
      <c r="E563" s="20">
        <f>IFERROR(__xludf.DUMMYFUNCTION("""COMPUTED_VALUE"""),0.3241335714285714)</f>
        <v>0.3241335714</v>
      </c>
      <c r="F563" s="20">
        <f>IFERROR(__xludf.DUMMYFUNCTION("""COMPUTED_VALUE"""),0.5107465392857142)</f>
        <v>0.5107465393</v>
      </c>
      <c r="G563" s="20">
        <f>IFERROR(__xludf.DUMMYFUNCTION("""COMPUTED_VALUE"""),0.336)</f>
        <v>0.336</v>
      </c>
      <c r="H563" s="23"/>
      <c r="J563" s="22"/>
    </row>
    <row r="564">
      <c r="A564" s="19">
        <f>IFERROR(__xludf.DUMMYFUNCTION("""COMPUTED_VALUE"""),45124.0)</f>
        <v>45124</v>
      </c>
      <c r="B564" s="20">
        <f>IFERROR(__xludf.DUMMYFUNCTION("""COMPUTED_VALUE"""),0.8326736842105266)</f>
        <v>0.8326736842</v>
      </c>
      <c r="C564" s="21">
        <f>IFERROR(__xludf.DUMMYFUNCTION("""COMPUTED_VALUE"""),0.6575)</f>
        <v>0.6575</v>
      </c>
      <c r="D564" s="21">
        <f>IFERROR(__xludf.DUMMYFUNCTION("""COMPUTED_VALUE"""),1.2075)</f>
        <v>1.2075</v>
      </c>
      <c r="E564" s="20">
        <f>IFERROR(__xludf.DUMMYFUNCTION("""COMPUTED_VALUE"""),0.3148857142857143)</f>
        <v>0.3148857143</v>
      </c>
      <c r="F564" s="20">
        <f>IFERROR(__xludf.DUMMYFUNCTION("""COMPUTED_VALUE"""),0.5049146571428571)</f>
        <v>0.5049146571</v>
      </c>
      <c r="G564" s="20">
        <f>IFERROR(__xludf.DUMMYFUNCTION("""COMPUTED_VALUE"""),0.336)</f>
        <v>0.336</v>
      </c>
      <c r="H564" s="23"/>
      <c r="J564" s="22"/>
    </row>
    <row r="565">
      <c r="A565" s="19">
        <f>IFERROR(__xludf.DUMMYFUNCTION("""COMPUTED_VALUE"""),45125.0)</f>
        <v>45125</v>
      </c>
      <c r="B565" s="20">
        <f>IFERROR(__xludf.DUMMYFUNCTION("""COMPUTED_VALUE"""),0.8326736842105266)</f>
        <v>0.8326736842</v>
      </c>
      <c r="C565" s="21">
        <f>IFERROR(__xludf.DUMMYFUNCTION("""COMPUTED_VALUE"""),0.6575)</f>
        <v>0.6575</v>
      </c>
      <c r="D565" s="21">
        <f>IFERROR(__xludf.DUMMYFUNCTION("""COMPUTED_VALUE"""),1.2075)</f>
        <v>1.2075</v>
      </c>
      <c r="E565" s="20">
        <f>IFERROR(__xludf.DUMMYFUNCTION("""COMPUTED_VALUE"""),0.30602)</f>
        <v>0.30602</v>
      </c>
      <c r="F565" s="20">
        <f>IFERROR(__xludf.DUMMYFUNCTION("""COMPUTED_VALUE"""),0.5059323035714286)</f>
        <v>0.5059323036</v>
      </c>
      <c r="G565" s="20">
        <f>IFERROR(__xludf.DUMMYFUNCTION("""COMPUTED_VALUE"""),0.336)</f>
        <v>0.336</v>
      </c>
      <c r="H565" s="23"/>
      <c r="J565" s="22"/>
    </row>
    <row r="566">
      <c r="A566" s="19">
        <f>IFERROR(__xludf.DUMMYFUNCTION("""COMPUTED_VALUE"""),45126.0)</f>
        <v>45126</v>
      </c>
      <c r="B566" s="20">
        <f>IFERROR(__xludf.DUMMYFUNCTION("""COMPUTED_VALUE"""),0.8326736842105266)</f>
        <v>0.8326736842</v>
      </c>
      <c r="C566" s="21">
        <f>IFERROR(__xludf.DUMMYFUNCTION("""COMPUTED_VALUE"""),0.6575)</f>
        <v>0.6575</v>
      </c>
      <c r="D566" s="21">
        <f>IFERROR(__xludf.DUMMYFUNCTION("""COMPUTED_VALUE"""),1.2075)</f>
        <v>1.2075</v>
      </c>
      <c r="E566" s="20">
        <f>IFERROR(__xludf.DUMMYFUNCTION("""COMPUTED_VALUE"""),0.3010521428571429)</f>
        <v>0.3010521429</v>
      </c>
      <c r="F566" s="20">
        <f>IFERROR(__xludf.DUMMYFUNCTION("""COMPUTED_VALUE"""),0.5118150107142858)</f>
        <v>0.5118150107</v>
      </c>
      <c r="G566" s="20">
        <f>IFERROR(__xludf.DUMMYFUNCTION("""COMPUTED_VALUE"""),0.336)</f>
        <v>0.336</v>
      </c>
      <c r="H566" s="23"/>
      <c r="J566" s="22"/>
    </row>
    <row r="567">
      <c r="A567" s="19">
        <f>IFERROR(__xludf.DUMMYFUNCTION("""COMPUTED_VALUE"""),45127.0)</f>
        <v>45127</v>
      </c>
      <c r="B567" s="20">
        <f>IFERROR(__xludf.DUMMYFUNCTION("""COMPUTED_VALUE"""),0.8326736842105266)</f>
        <v>0.8326736842</v>
      </c>
      <c r="C567" s="21">
        <f>IFERROR(__xludf.DUMMYFUNCTION("""COMPUTED_VALUE"""),0.6575)</f>
        <v>0.6575</v>
      </c>
      <c r="D567" s="21">
        <f>IFERROR(__xludf.DUMMYFUNCTION("""COMPUTED_VALUE"""),1.2075)</f>
        <v>1.2075</v>
      </c>
      <c r="E567" s="20">
        <f>IFERROR(__xludf.DUMMYFUNCTION("""COMPUTED_VALUE"""),0.3021985714285714)</f>
        <v>0.3021985714</v>
      </c>
      <c r="F567" s="20">
        <f>IFERROR(__xludf.DUMMYFUNCTION("""COMPUTED_VALUE"""),0.5186003392857143)</f>
        <v>0.5186003393</v>
      </c>
      <c r="G567" s="20">
        <f>IFERROR(__xludf.DUMMYFUNCTION("""COMPUTED_VALUE"""),0.336)</f>
        <v>0.336</v>
      </c>
      <c r="H567" s="23"/>
      <c r="J567" s="22"/>
    </row>
    <row r="568">
      <c r="A568" s="19">
        <f>IFERROR(__xludf.DUMMYFUNCTION("""COMPUTED_VALUE"""),45128.0)</f>
        <v>45128</v>
      </c>
      <c r="B568" s="20">
        <f>IFERROR(__xludf.DUMMYFUNCTION("""COMPUTED_VALUE"""),0.8326736842105266)</f>
        <v>0.8326736842</v>
      </c>
      <c r="C568" s="21">
        <f>IFERROR(__xludf.DUMMYFUNCTION("""COMPUTED_VALUE"""),0.6575)</f>
        <v>0.6575</v>
      </c>
      <c r="D568" s="21">
        <f>IFERROR(__xludf.DUMMYFUNCTION("""COMPUTED_VALUE"""),1.2075)</f>
        <v>1.2075</v>
      </c>
      <c r="E568" s="20">
        <f>IFERROR(__xludf.DUMMYFUNCTION("""COMPUTED_VALUE"""),0.30517928571428576)</f>
        <v>0.3051792857</v>
      </c>
      <c r="F568" s="20">
        <f>IFERROR(__xludf.DUMMYFUNCTION("""COMPUTED_VALUE"""),0.5236717571428572)</f>
        <v>0.5236717571</v>
      </c>
      <c r="G568" s="20">
        <f>IFERROR(__xludf.DUMMYFUNCTION("""COMPUTED_VALUE"""),0.336)</f>
        <v>0.336</v>
      </c>
      <c r="H568" s="23"/>
      <c r="J568" s="22"/>
    </row>
    <row r="569">
      <c r="A569" s="19">
        <f>IFERROR(__xludf.DUMMYFUNCTION("""COMPUTED_VALUE"""),45129.0)</f>
        <v>45129</v>
      </c>
      <c r="B569" s="20">
        <f>IFERROR(__xludf.DUMMYFUNCTION("""COMPUTED_VALUE"""),0.8326736842105266)</f>
        <v>0.8326736842</v>
      </c>
      <c r="C569" s="21">
        <f>IFERROR(__xludf.DUMMYFUNCTION("""COMPUTED_VALUE"""),0.6575)</f>
        <v>0.6575</v>
      </c>
      <c r="D569" s="21">
        <f>IFERROR(__xludf.DUMMYFUNCTION("""COMPUTED_VALUE"""),1.2075)</f>
        <v>1.2075</v>
      </c>
      <c r="E569" s="20">
        <f>IFERROR(__xludf.DUMMYFUNCTION("""COMPUTED_VALUE"""),0.31213428571428575)</f>
        <v>0.3121342857</v>
      </c>
      <c r="F569" s="20">
        <f>IFERROR(__xludf.DUMMYFUNCTION("""COMPUTED_VALUE"""),0.528743175)</f>
        <v>0.528743175</v>
      </c>
      <c r="G569" s="20">
        <f>IFERROR(__xludf.DUMMYFUNCTION("""COMPUTED_VALUE"""),0.336)</f>
        <v>0.336</v>
      </c>
      <c r="H569" s="23"/>
      <c r="J569" s="22"/>
    </row>
    <row r="570">
      <c r="A570" s="19">
        <f>IFERROR(__xludf.DUMMYFUNCTION("""COMPUTED_VALUE"""),45130.0)</f>
        <v>45130</v>
      </c>
      <c r="B570" s="20">
        <f>IFERROR(__xludf.DUMMYFUNCTION("""COMPUTED_VALUE"""),0.8326736842105266)</f>
        <v>0.8326736842</v>
      </c>
      <c r="C570" s="21">
        <f>IFERROR(__xludf.DUMMYFUNCTION("""COMPUTED_VALUE"""),0.6575)</f>
        <v>0.6575</v>
      </c>
      <c r="D570" s="21">
        <f>IFERROR(__xludf.DUMMYFUNCTION("""COMPUTED_VALUE"""),1.2075)</f>
        <v>1.2075</v>
      </c>
      <c r="E570" s="20">
        <f>IFERROR(__xludf.DUMMYFUNCTION("""COMPUTED_VALUE"""),0.3190892857142857)</f>
        <v>0.3190892857</v>
      </c>
      <c r="F570" s="20">
        <f>IFERROR(__xludf.DUMMYFUNCTION("""COMPUTED_VALUE"""),0.5338145928571428)</f>
        <v>0.5338145929</v>
      </c>
      <c r="G570" s="20">
        <f>IFERROR(__xludf.DUMMYFUNCTION("""COMPUTED_VALUE"""),0.336)</f>
        <v>0.336</v>
      </c>
      <c r="H570" s="23"/>
      <c r="J570" s="22"/>
    </row>
    <row r="571">
      <c r="A571" s="19">
        <f>IFERROR(__xludf.DUMMYFUNCTION("""COMPUTED_VALUE"""),45131.0)</f>
        <v>45131</v>
      </c>
      <c r="B571" s="20">
        <f>IFERROR(__xludf.DUMMYFUNCTION("""COMPUTED_VALUE"""),0.7564555555555557)</f>
        <v>0.7564555556</v>
      </c>
      <c r="C571" s="21">
        <f>IFERROR(__xludf.DUMMYFUNCTION("""COMPUTED_VALUE"""),0.6575)</f>
        <v>0.6575</v>
      </c>
      <c r="D571" s="21">
        <f>IFERROR(__xludf.DUMMYFUNCTION("""COMPUTED_VALUE"""),0.8895)</f>
        <v>0.8895</v>
      </c>
      <c r="E571" s="20">
        <f>IFERROR(__xludf.DUMMYFUNCTION("""COMPUTED_VALUE"""),0.3237514285714286)</f>
        <v>0.3237514286</v>
      </c>
      <c r="F571" s="20">
        <f>IFERROR(__xludf.DUMMYFUNCTION("""COMPUTED_VALUE"""),0.5413821678571428)</f>
        <v>0.5413821679</v>
      </c>
      <c r="G571" s="20">
        <f>IFERROR(__xludf.DUMMYFUNCTION("""COMPUTED_VALUE"""),0.336)</f>
        <v>0.336</v>
      </c>
      <c r="H571" s="23"/>
      <c r="J571" s="22"/>
    </row>
    <row r="572">
      <c r="A572" s="19">
        <f>IFERROR(__xludf.DUMMYFUNCTION("""COMPUTED_VALUE"""),45132.0)</f>
        <v>45132</v>
      </c>
      <c r="B572" s="20">
        <f>IFERROR(__xludf.DUMMYFUNCTION("""COMPUTED_VALUE"""),0.7564555555555557)</f>
        <v>0.7564555556</v>
      </c>
      <c r="C572" s="21">
        <f>IFERROR(__xludf.DUMMYFUNCTION("""COMPUTED_VALUE"""),0.6575)</f>
        <v>0.6575</v>
      </c>
      <c r="D572" s="21">
        <f>IFERROR(__xludf.DUMMYFUNCTION("""COMPUTED_VALUE"""),0.8895)</f>
        <v>0.8895</v>
      </c>
      <c r="E572" s="20">
        <f>IFERROR(__xludf.DUMMYFUNCTION("""COMPUTED_VALUE"""),0.33101214285714287)</f>
        <v>0.3310121429</v>
      </c>
      <c r="F572" s="20">
        <f>IFERROR(__xludf.DUMMYFUNCTION("""COMPUTED_VALUE"""),0.5471066678571429)</f>
        <v>0.5471066679</v>
      </c>
      <c r="G572" s="20">
        <f>IFERROR(__xludf.DUMMYFUNCTION("""COMPUTED_VALUE"""),0.336)</f>
        <v>0.336</v>
      </c>
      <c r="H572" s="23"/>
      <c r="J572" s="22"/>
    </row>
    <row r="573">
      <c r="A573" s="19">
        <f>IFERROR(__xludf.DUMMYFUNCTION("""COMPUTED_VALUE"""),45133.0)</f>
        <v>45133</v>
      </c>
      <c r="B573" s="20">
        <f>IFERROR(__xludf.DUMMYFUNCTION("""COMPUTED_VALUE"""),0.7564555555555557)</f>
        <v>0.7564555556</v>
      </c>
      <c r="C573" s="21">
        <f>IFERROR(__xludf.DUMMYFUNCTION("""COMPUTED_VALUE"""),0.6575)</f>
        <v>0.6575</v>
      </c>
      <c r="D573" s="21">
        <f>IFERROR(__xludf.DUMMYFUNCTION("""COMPUTED_VALUE"""),0.8895)</f>
        <v>0.8895</v>
      </c>
      <c r="E573" s="20">
        <f>IFERROR(__xludf.DUMMYFUNCTION("""COMPUTED_VALUE"""),0.33796714285714285)</f>
        <v>0.3379671429</v>
      </c>
      <c r="F573" s="20">
        <f>IFERROR(__xludf.DUMMYFUNCTION("""COMPUTED_VALUE"""),0.547457475)</f>
        <v>0.547457475</v>
      </c>
      <c r="G573" s="20">
        <f>IFERROR(__xludf.DUMMYFUNCTION("""COMPUTED_VALUE"""),0.336)</f>
        <v>0.336</v>
      </c>
      <c r="H573" s="23"/>
      <c r="J573" s="22"/>
    </row>
    <row r="574">
      <c r="A574" s="19">
        <f>IFERROR(__xludf.DUMMYFUNCTION("""COMPUTED_VALUE"""),45134.0)</f>
        <v>45134</v>
      </c>
      <c r="B574" s="20">
        <f>IFERROR(__xludf.DUMMYFUNCTION("""COMPUTED_VALUE"""),0.7564555555555557)</f>
        <v>0.7564555556</v>
      </c>
      <c r="C574" s="21">
        <f>IFERROR(__xludf.DUMMYFUNCTION("""COMPUTED_VALUE"""),0.6575)</f>
        <v>0.6575</v>
      </c>
      <c r="D574" s="21">
        <f>IFERROR(__xludf.DUMMYFUNCTION("""COMPUTED_VALUE"""),0.8895)</f>
        <v>0.8895</v>
      </c>
      <c r="E574" s="20">
        <f>IFERROR(__xludf.DUMMYFUNCTION("""COMPUTED_VALUE"""),0.339725)</f>
        <v>0.339725</v>
      </c>
      <c r="F574" s="20">
        <f>IFERROR(__xludf.DUMMYFUNCTION("""COMPUTED_VALUE"""),0.5461669785714286)</f>
        <v>0.5461669786</v>
      </c>
      <c r="G574" s="20">
        <f>IFERROR(__xludf.DUMMYFUNCTION("""COMPUTED_VALUE"""),0.336)</f>
        <v>0.336</v>
      </c>
      <c r="H574" s="23"/>
      <c r="J574" s="22"/>
    </row>
    <row r="575">
      <c r="A575" s="19">
        <f>IFERROR(__xludf.DUMMYFUNCTION("""COMPUTED_VALUE"""),45135.0)</f>
        <v>45135</v>
      </c>
      <c r="B575" s="20">
        <f>IFERROR(__xludf.DUMMYFUNCTION("""COMPUTED_VALUE"""),0.7564555555555557)</f>
        <v>0.7564555556</v>
      </c>
      <c r="C575" s="21">
        <f>IFERROR(__xludf.DUMMYFUNCTION("""COMPUTED_VALUE"""),0.6575)</f>
        <v>0.6575</v>
      </c>
      <c r="D575" s="21">
        <f>IFERROR(__xludf.DUMMYFUNCTION("""COMPUTED_VALUE"""),0.8895)</f>
        <v>0.8895</v>
      </c>
      <c r="E575" s="20">
        <f>IFERROR(__xludf.DUMMYFUNCTION("""COMPUTED_VALUE"""),0.33727928571428567)</f>
        <v>0.3372792857</v>
      </c>
      <c r="F575" s="20">
        <f>IFERROR(__xludf.DUMMYFUNCTION("""COMPUTED_VALUE"""),0.5424525499999999)</f>
        <v>0.54245255</v>
      </c>
      <c r="G575" s="20">
        <f>IFERROR(__xludf.DUMMYFUNCTION("""COMPUTED_VALUE"""),0.336)</f>
        <v>0.336</v>
      </c>
      <c r="H575" s="23"/>
      <c r="J575" s="22"/>
    </row>
    <row r="576">
      <c r="A576" s="19">
        <f>IFERROR(__xludf.DUMMYFUNCTION("""COMPUTED_VALUE"""),45136.0)</f>
        <v>45136</v>
      </c>
      <c r="B576" s="20">
        <f>IFERROR(__xludf.DUMMYFUNCTION("""COMPUTED_VALUE"""),0.7564555555555557)</f>
        <v>0.7564555556</v>
      </c>
      <c r="C576" s="21">
        <f>IFERROR(__xludf.DUMMYFUNCTION("""COMPUTED_VALUE"""),0.6575)</f>
        <v>0.6575</v>
      </c>
      <c r="D576" s="21">
        <f>IFERROR(__xludf.DUMMYFUNCTION("""COMPUTED_VALUE"""),0.8895)</f>
        <v>0.8895</v>
      </c>
      <c r="E576" s="20">
        <f>IFERROR(__xludf.DUMMYFUNCTION("""COMPUTED_VALUE"""),0.3313942857142857)</f>
        <v>0.3313942857</v>
      </c>
      <c r="F576" s="20">
        <f>IFERROR(__xludf.DUMMYFUNCTION("""COMPUTED_VALUE"""),0.5387381214285715)</f>
        <v>0.5387381214</v>
      </c>
      <c r="G576" s="20">
        <f>IFERROR(__xludf.DUMMYFUNCTION("""COMPUTED_VALUE"""),0.336)</f>
        <v>0.336</v>
      </c>
      <c r="H576" s="23"/>
      <c r="J576" s="22"/>
    </row>
    <row r="577">
      <c r="A577" s="19">
        <f>IFERROR(__xludf.DUMMYFUNCTION("""COMPUTED_VALUE"""),45137.0)</f>
        <v>45137</v>
      </c>
      <c r="B577" s="20">
        <f>IFERROR(__xludf.DUMMYFUNCTION("""COMPUTED_VALUE"""),0.7564555555555557)</f>
        <v>0.7564555556</v>
      </c>
      <c r="C577" s="21">
        <f>IFERROR(__xludf.DUMMYFUNCTION("""COMPUTED_VALUE"""),0.6575)</f>
        <v>0.6575</v>
      </c>
      <c r="D577" s="21">
        <f>IFERROR(__xludf.DUMMYFUNCTION("""COMPUTED_VALUE"""),0.8895)</f>
        <v>0.8895</v>
      </c>
      <c r="E577" s="20">
        <f>IFERROR(__xludf.DUMMYFUNCTION("""COMPUTED_VALUE"""),0.3255092857142857)</f>
        <v>0.3255092857</v>
      </c>
      <c r="F577" s="20">
        <f>IFERROR(__xludf.DUMMYFUNCTION("""COMPUTED_VALUE"""),0.5350236928571428)</f>
        <v>0.5350236929</v>
      </c>
      <c r="G577" s="20">
        <f>IFERROR(__xludf.DUMMYFUNCTION("""COMPUTED_VALUE"""),0.336)</f>
        <v>0.336</v>
      </c>
      <c r="H577" s="23"/>
      <c r="J577" s="22"/>
    </row>
    <row r="578">
      <c r="A578" s="19">
        <f>IFERROR(__xludf.DUMMYFUNCTION("""COMPUTED_VALUE"""),45138.0)</f>
        <v>45138</v>
      </c>
      <c r="B578" s="20">
        <f>IFERROR(__xludf.DUMMYFUNCTION("""COMPUTED_VALUE"""),0.7564555555555557)</f>
        <v>0.7564555556</v>
      </c>
      <c r="C578" s="21">
        <f>IFERROR(__xludf.DUMMYFUNCTION("""COMPUTED_VALUE"""),0.6575)</f>
        <v>0.6575</v>
      </c>
      <c r="D578" s="21">
        <f>IFERROR(__xludf.DUMMYFUNCTION("""COMPUTED_VALUE"""),0.8895)</f>
        <v>0.8895</v>
      </c>
      <c r="E578" s="20">
        <f>IFERROR(__xludf.DUMMYFUNCTION("""COMPUTED_VALUE"""),0.3173314285714285)</f>
        <v>0.3173314286</v>
      </c>
      <c r="F578" s="20">
        <f>IFERROR(__xludf.DUMMYFUNCTION("""COMPUTED_VALUE"""),0.5312500321428572)</f>
        <v>0.5312500321</v>
      </c>
      <c r="G578" s="20">
        <f>IFERROR(__xludf.DUMMYFUNCTION("""COMPUTED_VALUE"""),0.336)</f>
        <v>0.336</v>
      </c>
      <c r="H578" s="23"/>
      <c r="J578" s="22"/>
    </row>
    <row r="579">
      <c r="A579" s="19">
        <f>IFERROR(__xludf.DUMMYFUNCTION("""COMPUTED_VALUE"""),45139.0)</f>
        <v>45139</v>
      </c>
      <c r="B579" s="20">
        <f>IFERROR(__xludf.DUMMYFUNCTION("""COMPUTED_VALUE"""),0.7564555555555557)</f>
        <v>0.7564555556</v>
      </c>
      <c r="C579" s="21">
        <f>IFERROR(__xludf.DUMMYFUNCTION("""COMPUTED_VALUE"""),0.6575)</f>
        <v>0.6575</v>
      </c>
      <c r="D579" s="21">
        <f>IFERROR(__xludf.DUMMYFUNCTION("""COMPUTED_VALUE"""),0.8895)</f>
        <v>0.8895</v>
      </c>
      <c r="E579" s="20">
        <f>IFERROR(__xludf.DUMMYFUNCTION("""COMPUTED_VALUE"""),0.309765)</f>
        <v>0.309765</v>
      </c>
      <c r="F579" s="20">
        <f>IFERROR(__xludf.DUMMYFUNCTION("""COMPUTED_VALUE"""),0.5233962321428571)</f>
        <v>0.5233962321</v>
      </c>
      <c r="G579" s="20">
        <f>IFERROR(__xludf.DUMMYFUNCTION("""COMPUTED_VALUE"""),0.355)</f>
        <v>0.355</v>
      </c>
      <c r="H579" s="23"/>
      <c r="J579" s="22"/>
    </row>
    <row r="580">
      <c r="A580" s="19">
        <f>IFERROR(__xludf.DUMMYFUNCTION("""COMPUTED_VALUE"""),45140.0)</f>
        <v>45140</v>
      </c>
      <c r="B580" s="20">
        <f>IFERROR(__xludf.DUMMYFUNCTION("""COMPUTED_VALUE"""),0.7564555555555557)</f>
        <v>0.7564555556</v>
      </c>
      <c r="C580" s="21">
        <f>IFERROR(__xludf.DUMMYFUNCTION("""COMPUTED_VALUE"""),0.6575)</f>
        <v>0.6575</v>
      </c>
      <c r="D580" s="21">
        <f>IFERROR(__xludf.DUMMYFUNCTION("""COMPUTED_VALUE"""),0.8895)</f>
        <v>0.8895</v>
      </c>
      <c r="E580" s="20">
        <f>IFERROR(__xludf.DUMMYFUNCTION("""COMPUTED_VALUE"""),0.3035742857142857)</f>
        <v>0.3035742857</v>
      </c>
      <c r="F580" s="20">
        <f>IFERROR(__xludf.DUMMYFUNCTION("""COMPUTED_VALUE"""),0.5186240321428571)</f>
        <v>0.5186240321</v>
      </c>
      <c r="G580" s="20">
        <f>IFERROR(__xludf.DUMMYFUNCTION("""COMPUTED_VALUE"""),0.355)</f>
        <v>0.355</v>
      </c>
      <c r="H580" s="23"/>
      <c r="J580" s="22"/>
    </row>
    <row r="581">
      <c r="A581" s="19">
        <f>IFERROR(__xludf.DUMMYFUNCTION("""COMPUTED_VALUE"""),45141.0)</f>
        <v>45141</v>
      </c>
      <c r="B581" s="20">
        <f>IFERROR(__xludf.DUMMYFUNCTION("""COMPUTED_VALUE"""),0.7564555555555557)</f>
        <v>0.7564555556</v>
      </c>
      <c r="C581" s="21">
        <f>IFERROR(__xludf.DUMMYFUNCTION("""COMPUTED_VALUE"""),0.6575)</f>
        <v>0.6575</v>
      </c>
      <c r="D581" s="21">
        <f>IFERROR(__xludf.DUMMYFUNCTION("""COMPUTED_VALUE"""),0.8895)</f>
        <v>0.8895</v>
      </c>
      <c r="E581" s="20">
        <f>IFERROR(__xludf.DUMMYFUNCTION("""COMPUTED_VALUE"""),0.3018164285714286)</f>
        <v>0.3018164286</v>
      </c>
      <c r="F581" s="20">
        <f>IFERROR(__xludf.DUMMYFUNCTION("""COMPUTED_VALUE"""),0.5147185321428571)</f>
        <v>0.5147185321</v>
      </c>
      <c r="G581" s="20">
        <f>IFERROR(__xludf.DUMMYFUNCTION("""COMPUTED_VALUE"""),0.355)</f>
        <v>0.355</v>
      </c>
      <c r="H581" s="23"/>
      <c r="J581" s="22"/>
    </row>
    <row r="582">
      <c r="A582" s="19">
        <f>IFERROR(__xludf.DUMMYFUNCTION("""COMPUTED_VALUE"""),45142.0)</f>
        <v>45142</v>
      </c>
      <c r="B582" s="20">
        <f>IFERROR(__xludf.DUMMYFUNCTION("""COMPUTED_VALUE"""),0.7564555555555557)</f>
        <v>0.7564555556</v>
      </c>
      <c r="C582" s="21">
        <f>IFERROR(__xludf.DUMMYFUNCTION("""COMPUTED_VALUE"""),0.6575)</f>
        <v>0.6575</v>
      </c>
      <c r="D582" s="21">
        <f>IFERROR(__xludf.DUMMYFUNCTION("""COMPUTED_VALUE"""),0.8895)</f>
        <v>0.8895</v>
      </c>
      <c r="E582" s="20">
        <f>IFERROR(__xludf.DUMMYFUNCTION("""COMPUTED_VALUE"""),0.3077014285714286)</f>
        <v>0.3077014286</v>
      </c>
      <c r="F582" s="20">
        <f>IFERROR(__xludf.DUMMYFUNCTION("""COMPUTED_VALUE"""),0.5138992178571428)</f>
        <v>0.5138992179</v>
      </c>
      <c r="G582" s="20">
        <f>IFERROR(__xludf.DUMMYFUNCTION("""COMPUTED_VALUE"""),0.355)</f>
        <v>0.355</v>
      </c>
      <c r="H582" s="23"/>
      <c r="J582" s="22"/>
    </row>
    <row r="583">
      <c r="A583" s="19">
        <f>IFERROR(__xludf.DUMMYFUNCTION("""COMPUTED_VALUE"""),45143.0)</f>
        <v>45143</v>
      </c>
      <c r="B583" s="20">
        <f>IFERROR(__xludf.DUMMYFUNCTION("""COMPUTED_VALUE"""),0.7564555555555557)</f>
        <v>0.7564555556</v>
      </c>
      <c r="C583" s="21">
        <f>IFERROR(__xludf.DUMMYFUNCTION("""COMPUTED_VALUE"""),0.6575)</f>
        <v>0.6575</v>
      </c>
      <c r="D583" s="21">
        <f>IFERROR(__xludf.DUMMYFUNCTION("""COMPUTED_VALUE"""),0.8895)</f>
        <v>0.8895</v>
      </c>
      <c r="E583" s="20">
        <f>IFERROR(__xludf.DUMMYFUNCTION("""COMPUTED_VALUE"""),0.31137000000000004)</f>
        <v>0.31137</v>
      </c>
      <c r="F583" s="20">
        <f>IFERROR(__xludf.DUMMYFUNCTION("""COMPUTED_VALUE"""),0.5130799035714285)</f>
        <v>0.5130799036</v>
      </c>
      <c r="G583" s="20">
        <f>IFERROR(__xludf.DUMMYFUNCTION("""COMPUTED_VALUE"""),0.355)</f>
        <v>0.355</v>
      </c>
      <c r="H583" s="23"/>
      <c r="J583" s="22"/>
    </row>
    <row r="584">
      <c r="A584" s="19">
        <f>IFERROR(__xludf.DUMMYFUNCTION("""COMPUTED_VALUE"""),45144.0)</f>
        <v>45144</v>
      </c>
      <c r="B584" s="20">
        <f>IFERROR(__xludf.DUMMYFUNCTION("""COMPUTED_VALUE"""),0.7564555555555557)</f>
        <v>0.7564555556</v>
      </c>
      <c r="C584" s="21">
        <f>IFERROR(__xludf.DUMMYFUNCTION("""COMPUTED_VALUE"""),0.6575)</f>
        <v>0.6575</v>
      </c>
      <c r="D584" s="21">
        <f>IFERROR(__xludf.DUMMYFUNCTION("""COMPUTED_VALUE"""),0.8895)</f>
        <v>0.8895</v>
      </c>
      <c r="E584" s="20">
        <f>IFERROR(__xludf.DUMMYFUNCTION("""COMPUTED_VALUE"""),0.31503857142857145)</f>
        <v>0.3150385714</v>
      </c>
      <c r="F584" s="20">
        <f>IFERROR(__xludf.DUMMYFUNCTION("""COMPUTED_VALUE"""),0.5122605892857142)</f>
        <v>0.5122605893</v>
      </c>
      <c r="G584" s="20">
        <f>IFERROR(__xludf.DUMMYFUNCTION("""COMPUTED_VALUE"""),0.355)</f>
        <v>0.355</v>
      </c>
      <c r="H584" s="23"/>
      <c r="J584" s="22"/>
    </row>
    <row r="585">
      <c r="A585" s="19">
        <f>IFERROR(__xludf.DUMMYFUNCTION("""COMPUTED_VALUE"""),45145.0)</f>
        <v>45145</v>
      </c>
      <c r="B585" s="20">
        <f>IFERROR(__xludf.DUMMYFUNCTION("""COMPUTED_VALUE"""),0.7564555555555557)</f>
        <v>0.7564555556</v>
      </c>
      <c r="C585" s="21">
        <f>IFERROR(__xludf.DUMMYFUNCTION("""COMPUTED_VALUE"""),0.6575)</f>
        <v>0.6575</v>
      </c>
      <c r="D585" s="21">
        <f>IFERROR(__xludf.DUMMYFUNCTION("""COMPUTED_VALUE"""),0.8895)</f>
        <v>0.8895</v>
      </c>
      <c r="E585" s="20">
        <f>IFERROR(__xludf.DUMMYFUNCTION("""COMPUTED_VALUE"""),0.3174078571428572)</f>
        <v>0.3174078571</v>
      </c>
      <c r="F585" s="20">
        <f>IFERROR(__xludf.DUMMYFUNCTION("""COMPUTED_VALUE"""),0.5105715178571428)</f>
        <v>0.5105715179</v>
      </c>
      <c r="G585" s="20">
        <f>IFERROR(__xludf.DUMMYFUNCTION("""COMPUTED_VALUE"""),0.355)</f>
        <v>0.355</v>
      </c>
      <c r="H585" s="23"/>
      <c r="J585" s="22"/>
    </row>
    <row r="586">
      <c r="A586" s="19">
        <f>IFERROR(__xludf.DUMMYFUNCTION("""COMPUTED_VALUE"""),45146.0)</f>
        <v>45146</v>
      </c>
      <c r="B586" s="20">
        <f>IFERROR(__xludf.DUMMYFUNCTION("""COMPUTED_VALUE"""),0.7564555555555557)</f>
        <v>0.7564555556</v>
      </c>
      <c r="C586" s="21">
        <f>IFERROR(__xludf.DUMMYFUNCTION("""COMPUTED_VALUE"""),0.6575)</f>
        <v>0.6575</v>
      </c>
      <c r="D586" s="21">
        <f>IFERROR(__xludf.DUMMYFUNCTION("""COMPUTED_VALUE"""),0.8895)</f>
        <v>0.8895</v>
      </c>
      <c r="E586" s="20">
        <f>IFERROR(__xludf.DUMMYFUNCTION("""COMPUTED_VALUE"""),0.3180957142857143)</f>
        <v>0.3180957143</v>
      </c>
      <c r="F586" s="20">
        <f>IFERROR(__xludf.DUMMYFUNCTION("""COMPUTED_VALUE"""),0.511660625)</f>
        <v>0.511660625</v>
      </c>
      <c r="G586" s="20">
        <f>IFERROR(__xludf.DUMMYFUNCTION("""COMPUTED_VALUE"""),0.355)</f>
        <v>0.355</v>
      </c>
      <c r="H586" s="23"/>
      <c r="J586" s="22"/>
    </row>
    <row r="587">
      <c r="A587" s="19">
        <f>IFERROR(__xludf.DUMMYFUNCTION("""COMPUTED_VALUE"""),45147.0)</f>
        <v>45147</v>
      </c>
      <c r="B587" s="20">
        <f>IFERROR(__xludf.DUMMYFUNCTION("""COMPUTED_VALUE"""),0.7564555555555557)</f>
        <v>0.7564555556</v>
      </c>
      <c r="C587" s="21">
        <f>IFERROR(__xludf.DUMMYFUNCTION("""COMPUTED_VALUE"""),0.6575)</f>
        <v>0.6575</v>
      </c>
      <c r="D587" s="21">
        <f>IFERROR(__xludf.DUMMYFUNCTION("""COMPUTED_VALUE"""),0.8895)</f>
        <v>0.8895</v>
      </c>
      <c r="E587" s="20">
        <f>IFERROR(__xludf.DUMMYFUNCTION("""COMPUTED_VALUE"""),0.3170257142857143)</f>
        <v>0.3170257143</v>
      </c>
      <c r="F587" s="20">
        <f>IFERROR(__xludf.DUMMYFUNCTION("""COMPUTED_VALUE"""),0.5187134535714285)</f>
        <v>0.5187134536</v>
      </c>
      <c r="G587" s="20">
        <f>IFERROR(__xludf.DUMMYFUNCTION("""COMPUTED_VALUE"""),0.355)</f>
        <v>0.355</v>
      </c>
      <c r="H587" s="23"/>
      <c r="J587" s="22"/>
    </row>
    <row r="588">
      <c r="A588" s="19">
        <f>IFERROR(__xludf.DUMMYFUNCTION("""COMPUTED_VALUE"""),45148.0)</f>
        <v>45148</v>
      </c>
      <c r="B588" s="20">
        <f>IFERROR(__xludf.DUMMYFUNCTION("""COMPUTED_VALUE"""),0.7564555555555557)</f>
        <v>0.7564555556</v>
      </c>
      <c r="C588" s="21">
        <f>IFERROR(__xludf.DUMMYFUNCTION("""COMPUTED_VALUE"""),0.6575)</f>
        <v>0.6575</v>
      </c>
      <c r="D588" s="21">
        <f>IFERROR(__xludf.DUMMYFUNCTION("""COMPUTED_VALUE"""),0.8895)</f>
        <v>0.8895</v>
      </c>
      <c r="E588" s="20">
        <f>IFERROR(__xludf.DUMMYFUNCTION("""COMPUTED_VALUE"""),0.32696142857142857)</f>
        <v>0.3269614286</v>
      </c>
      <c r="F588" s="20">
        <f>IFERROR(__xludf.DUMMYFUNCTION("""COMPUTED_VALUE"""),0.5228417428571428)</f>
        <v>0.5228417429</v>
      </c>
      <c r="G588" s="20">
        <f>IFERROR(__xludf.DUMMYFUNCTION("""COMPUTED_VALUE"""),0.355)</f>
        <v>0.355</v>
      </c>
      <c r="H588" s="23"/>
      <c r="J588" s="22"/>
    </row>
    <row r="589">
      <c r="A589" s="19">
        <f>IFERROR(__xludf.DUMMYFUNCTION("""COMPUTED_VALUE"""),45149.0)</f>
        <v>45149</v>
      </c>
      <c r="B589" s="20">
        <f>IFERROR(__xludf.DUMMYFUNCTION("""COMPUTED_VALUE"""),0.7564555555555557)</f>
        <v>0.7564555556</v>
      </c>
      <c r="C589" s="21">
        <f>IFERROR(__xludf.DUMMYFUNCTION("""COMPUTED_VALUE"""),0.6575)</f>
        <v>0.6575</v>
      </c>
      <c r="D589" s="21">
        <f>IFERROR(__xludf.DUMMYFUNCTION("""COMPUTED_VALUE"""),0.8895)</f>
        <v>0.8895</v>
      </c>
      <c r="E589" s="20">
        <f>IFERROR(__xludf.DUMMYFUNCTION("""COMPUTED_VALUE"""),0.33001857142857144)</f>
        <v>0.3300185714</v>
      </c>
      <c r="F589" s="20">
        <f>IFERROR(__xludf.DUMMYFUNCTION("""COMPUTED_VALUE"""),0.5273223678571428)</f>
        <v>0.5273223679</v>
      </c>
      <c r="G589" s="20">
        <f>IFERROR(__xludf.DUMMYFUNCTION("""COMPUTED_VALUE"""),0.355)</f>
        <v>0.355</v>
      </c>
      <c r="H589" s="23"/>
      <c r="J589" s="22"/>
    </row>
    <row r="590">
      <c r="A590" s="19">
        <f>IFERROR(__xludf.DUMMYFUNCTION("""COMPUTED_VALUE"""),45150.0)</f>
        <v>45150</v>
      </c>
      <c r="B590" s="20">
        <f>IFERROR(__xludf.DUMMYFUNCTION("""COMPUTED_VALUE"""),0.7564555555555557)</f>
        <v>0.7564555556</v>
      </c>
      <c r="C590" s="21">
        <f>IFERROR(__xludf.DUMMYFUNCTION("""COMPUTED_VALUE"""),0.6575)</f>
        <v>0.6575</v>
      </c>
      <c r="D590" s="21">
        <f>IFERROR(__xludf.DUMMYFUNCTION("""COMPUTED_VALUE"""),0.8895)</f>
        <v>0.8895</v>
      </c>
      <c r="E590" s="20">
        <f>IFERROR(__xludf.DUMMYFUNCTION("""COMPUTED_VALUE"""),0.331165)</f>
        <v>0.331165</v>
      </c>
      <c r="F590" s="20">
        <f>IFERROR(__xludf.DUMMYFUNCTION("""COMPUTED_VALUE"""),0.5318029928571429)</f>
        <v>0.5318029929</v>
      </c>
      <c r="G590" s="20">
        <f>IFERROR(__xludf.DUMMYFUNCTION("""COMPUTED_VALUE"""),0.355)</f>
        <v>0.355</v>
      </c>
      <c r="H590" s="23"/>
      <c r="J590" s="22"/>
    </row>
    <row r="591">
      <c r="A591" s="19">
        <f>IFERROR(__xludf.DUMMYFUNCTION("""COMPUTED_VALUE"""),45151.0)</f>
        <v>45151</v>
      </c>
      <c r="B591" s="20">
        <f>IFERROR(__xludf.DUMMYFUNCTION("""COMPUTED_VALUE"""),0.7564555555555557)</f>
        <v>0.7564555556</v>
      </c>
      <c r="C591" s="21">
        <f>IFERROR(__xludf.DUMMYFUNCTION("""COMPUTED_VALUE"""),0.6575)</f>
        <v>0.6575</v>
      </c>
      <c r="D591" s="21">
        <f>IFERROR(__xludf.DUMMYFUNCTION("""COMPUTED_VALUE"""),0.8895)</f>
        <v>0.8895</v>
      </c>
      <c r="E591" s="20">
        <f>IFERROR(__xludf.DUMMYFUNCTION("""COMPUTED_VALUE"""),0.33231142857142854)</f>
        <v>0.3323114286</v>
      </c>
      <c r="F591" s="20">
        <f>IFERROR(__xludf.DUMMYFUNCTION("""COMPUTED_VALUE"""),0.536283617857143)</f>
        <v>0.5362836179</v>
      </c>
      <c r="G591" s="20">
        <f>IFERROR(__xludf.DUMMYFUNCTION("""COMPUTED_VALUE"""),0.355)</f>
        <v>0.355</v>
      </c>
      <c r="H591" s="23"/>
      <c r="J591" s="22"/>
    </row>
    <row r="592">
      <c r="A592" s="19">
        <f>IFERROR(__xludf.DUMMYFUNCTION("""COMPUTED_VALUE"""),45152.0)</f>
        <v>45152</v>
      </c>
      <c r="B592" s="20">
        <f>IFERROR(__xludf.DUMMYFUNCTION("""COMPUTED_VALUE"""),0.7564555555555557)</f>
        <v>0.7564555556</v>
      </c>
      <c r="C592" s="21">
        <f>IFERROR(__xludf.DUMMYFUNCTION("""COMPUTED_VALUE"""),0.6575)</f>
        <v>0.6575</v>
      </c>
      <c r="D592" s="21">
        <f>IFERROR(__xludf.DUMMYFUNCTION("""COMPUTED_VALUE"""),0.8895)</f>
        <v>0.8895</v>
      </c>
      <c r="E592" s="20">
        <f>IFERROR(__xludf.DUMMYFUNCTION("""COMPUTED_VALUE"""),0.33513928571428575)</f>
        <v>0.3351392857</v>
      </c>
      <c r="F592" s="20">
        <f>IFERROR(__xludf.DUMMYFUNCTION("""COMPUTED_VALUE"""),0.5398348714285715)</f>
        <v>0.5398348714</v>
      </c>
      <c r="G592" s="20">
        <f>IFERROR(__xludf.DUMMYFUNCTION("""COMPUTED_VALUE"""),0.355)</f>
        <v>0.355</v>
      </c>
      <c r="H592" s="23"/>
      <c r="J592" s="22"/>
    </row>
    <row r="593">
      <c r="A593" s="19">
        <f>IFERROR(__xludf.DUMMYFUNCTION("""COMPUTED_VALUE"""),45153.0)</f>
        <v>45153</v>
      </c>
      <c r="B593" s="20">
        <f>IFERROR(__xludf.DUMMYFUNCTION("""COMPUTED_VALUE"""),0.7564555555555557)</f>
        <v>0.7564555556</v>
      </c>
      <c r="C593" s="21">
        <f>IFERROR(__xludf.DUMMYFUNCTION("""COMPUTED_VALUE"""),0.6575)</f>
        <v>0.6575</v>
      </c>
      <c r="D593" s="21">
        <f>IFERROR(__xludf.DUMMYFUNCTION("""COMPUTED_VALUE"""),0.8895)</f>
        <v>0.8895</v>
      </c>
      <c r="E593" s="20">
        <f>IFERROR(__xludf.DUMMYFUNCTION("""COMPUTED_VALUE"""),0.33361071428571426)</f>
        <v>0.3336107143</v>
      </c>
      <c r="F593" s="20">
        <f>IFERROR(__xludf.DUMMYFUNCTION("""COMPUTED_VALUE"""),0.5488041464285713)</f>
        <v>0.5488041464</v>
      </c>
      <c r="G593" s="20">
        <f>IFERROR(__xludf.DUMMYFUNCTION("""COMPUTED_VALUE"""),0.355)</f>
        <v>0.355</v>
      </c>
      <c r="H593" s="23"/>
      <c r="J593" s="22"/>
    </row>
    <row r="594">
      <c r="A594" s="19">
        <f>IFERROR(__xludf.DUMMYFUNCTION("""COMPUTED_VALUE"""),45154.0)</f>
        <v>45154</v>
      </c>
      <c r="B594" s="20">
        <f>IFERROR(__xludf.DUMMYFUNCTION("""COMPUTED_VALUE"""),0.7564555555555557)</f>
        <v>0.7564555556</v>
      </c>
      <c r="C594" s="21">
        <f>IFERROR(__xludf.DUMMYFUNCTION("""COMPUTED_VALUE"""),0.6575)</f>
        <v>0.6575</v>
      </c>
      <c r="D594" s="21">
        <f>IFERROR(__xludf.DUMMYFUNCTION("""COMPUTED_VALUE"""),0.8895)</f>
        <v>0.8895</v>
      </c>
      <c r="E594" s="20">
        <f>IFERROR(__xludf.DUMMYFUNCTION("""COMPUTED_VALUE"""),0.33223499999999995)</f>
        <v>0.332235</v>
      </c>
      <c r="F594" s="20">
        <f>IFERROR(__xludf.DUMMYFUNCTION("""COMPUTED_VALUE"""),0.551539907142857)</f>
        <v>0.5515399071</v>
      </c>
      <c r="G594" s="20">
        <f>IFERROR(__xludf.DUMMYFUNCTION("""COMPUTED_VALUE"""),0.355)</f>
        <v>0.355</v>
      </c>
      <c r="H594" s="23"/>
      <c r="J594" s="22"/>
    </row>
    <row r="595">
      <c r="A595" s="19">
        <f>IFERROR(__xludf.DUMMYFUNCTION("""COMPUTED_VALUE"""),45155.0)</f>
        <v>45155</v>
      </c>
      <c r="B595" s="20">
        <f>IFERROR(__xludf.DUMMYFUNCTION("""COMPUTED_VALUE"""),0.7564555555555557)</f>
        <v>0.7564555556</v>
      </c>
      <c r="C595" s="21">
        <f>IFERROR(__xludf.DUMMYFUNCTION("""COMPUTED_VALUE"""),0.6575)</f>
        <v>0.6575</v>
      </c>
      <c r="D595" s="21">
        <f>IFERROR(__xludf.DUMMYFUNCTION("""COMPUTED_VALUE"""),0.8895)</f>
        <v>0.8895</v>
      </c>
      <c r="E595" s="20">
        <f>IFERROR(__xludf.DUMMYFUNCTION("""COMPUTED_VALUE"""),0.329025)</f>
        <v>0.329025</v>
      </c>
      <c r="F595" s="20">
        <f>IFERROR(__xludf.DUMMYFUNCTION("""COMPUTED_VALUE"""),0.5562150428571428)</f>
        <v>0.5562150429</v>
      </c>
      <c r="G595" s="20">
        <f>IFERROR(__xludf.DUMMYFUNCTION("""COMPUTED_VALUE"""),0.355)</f>
        <v>0.355</v>
      </c>
      <c r="H595" s="23"/>
      <c r="J595" s="22"/>
    </row>
    <row r="596">
      <c r="A596" s="19">
        <f>IFERROR(__xludf.DUMMYFUNCTION("""COMPUTED_VALUE"""),45156.0)</f>
        <v>45156</v>
      </c>
      <c r="B596" s="20">
        <f>IFERROR(__xludf.DUMMYFUNCTION("""COMPUTED_VALUE"""),0.7564555555555557)</f>
        <v>0.7564555556</v>
      </c>
      <c r="C596" s="21">
        <f>IFERROR(__xludf.DUMMYFUNCTION("""COMPUTED_VALUE"""),0.6575)</f>
        <v>0.6575</v>
      </c>
      <c r="D596" s="21">
        <f>IFERROR(__xludf.DUMMYFUNCTION("""COMPUTED_VALUE"""),0.8895)</f>
        <v>0.8895</v>
      </c>
      <c r="E596" s="20">
        <f>IFERROR(__xludf.DUMMYFUNCTION("""COMPUTED_VALUE"""),0.32635000000000003)</f>
        <v>0.32635</v>
      </c>
      <c r="F596" s="20">
        <f>IFERROR(__xludf.DUMMYFUNCTION("""COMPUTED_VALUE"""),0.561453075)</f>
        <v>0.561453075</v>
      </c>
      <c r="G596" s="20">
        <f>IFERROR(__xludf.DUMMYFUNCTION("""COMPUTED_VALUE"""),0.355)</f>
        <v>0.355</v>
      </c>
      <c r="H596" s="23"/>
      <c r="J596" s="22"/>
    </row>
    <row r="597">
      <c r="A597" s="19">
        <f>IFERROR(__xludf.DUMMYFUNCTION("""COMPUTED_VALUE"""),45157.0)</f>
        <v>45157</v>
      </c>
      <c r="B597" s="20">
        <f>IFERROR(__xludf.DUMMYFUNCTION("""COMPUTED_VALUE"""),0.7564555555555557)</f>
        <v>0.7564555556</v>
      </c>
      <c r="C597" s="21">
        <f>IFERROR(__xludf.DUMMYFUNCTION("""COMPUTED_VALUE"""),0.6575)</f>
        <v>0.6575</v>
      </c>
      <c r="D597" s="21">
        <f>IFERROR(__xludf.DUMMYFUNCTION("""COMPUTED_VALUE"""),0.8895)</f>
        <v>0.8895</v>
      </c>
      <c r="E597" s="20">
        <f>IFERROR(__xludf.DUMMYFUNCTION("""COMPUTED_VALUE"""),0.32711428571428575)</f>
        <v>0.3271142857</v>
      </c>
      <c r="F597" s="20">
        <f>IFERROR(__xludf.DUMMYFUNCTION("""COMPUTED_VALUE"""),0.5666911071428571)</f>
        <v>0.5666911071</v>
      </c>
      <c r="G597" s="20">
        <f>IFERROR(__xludf.DUMMYFUNCTION("""COMPUTED_VALUE"""),0.355)</f>
        <v>0.355</v>
      </c>
      <c r="H597" s="23"/>
      <c r="J597" s="22"/>
    </row>
    <row r="598">
      <c r="A598" s="19">
        <f>IFERROR(__xludf.DUMMYFUNCTION("""COMPUTED_VALUE"""),45158.0)</f>
        <v>45158</v>
      </c>
      <c r="B598" s="20">
        <f>IFERROR(__xludf.DUMMYFUNCTION("""COMPUTED_VALUE"""),0.7564555555555557)</f>
        <v>0.7564555556</v>
      </c>
      <c r="C598" s="21">
        <f>IFERROR(__xludf.DUMMYFUNCTION("""COMPUTED_VALUE"""),0.6575)</f>
        <v>0.6575</v>
      </c>
      <c r="D598" s="21">
        <f>IFERROR(__xludf.DUMMYFUNCTION("""COMPUTED_VALUE"""),0.8895)</f>
        <v>0.8895</v>
      </c>
      <c r="E598" s="20">
        <f>IFERROR(__xludf.DUMMYFUNCTION("""COMPUTED_VALUE"""),0.3278785714285714)</f>
        <v>0.3278785714</v>
      </c>
      <c r="F598" s="20">
        <f>IFERROR(__xludf.DUMMYFUNCTION("""COMPUTED_VALUE"""),0.5719291392857142)</f>
        <v>0.5719291393</v>
      </c>
      <c r="G598" s="20">
        <f>IFERROR(__xludf.DUMMYFUNCTION("""COMPUTED_VALUE"""),0.355)</f>
        <v>0.355</v>
      </c>
      <c r="H598" s="23"/>
      <c r="J598" s="22"/>
    </row>
    <row r="599">
      <c r="A599" s="19">
        <f>IFERROR(__xludf.DUMMYFUNCTION("""COMPUTED_VALUE"""),45159.0)</f>
        <v>45159</v>
      </c>
      <c r="B599" s="20">
        <f>IFERROR(__xludf.DUMMYFUNCTION("""COMPUTED_VALUE"""),0.7564555555555557)</f>
        <v>0.7564555556</v>
      </c>
      <c r="C599" s="21">
        <f>IFERROR(__xludf.DUMMYFUNCTION("""COMPUTED_VALUE"""),0.6575)</f>
        <v>0.6575</v>
      </c>
      <c r="D599" s="21">
        <f>IFERROR(__xludf.DUMMYFUNCTION("""COMPUTED_VALUE"""),0.8895)</f>
        <v>0.8895</v>
      </c>
      <c r="E599" s="20">
        <f>IFERROR(__xludf.DUMMYFUNCTION("""COMPUTED_VALUE"""),0.33147071428571423)</f>
        <v>0.3314707143</v>
      </c>
      <c r="F599" s="20">
        <f>IFERROR(__xludf.DUMMYFUNCTION("""COMPUTED_VALUE"""),0.5807539642857142)</f>
        <v>0.5807539643</v>
      </c>
      <c r="G599" s="20">
        <f>IFERROR(__xludf.DUMMYFUNCTION("""COMPUTED_VALUE"""),0.355)</f>
        <v>0.355</v>
      </c>
      <c r="H599" s="23"/>
      <c r="J599" s="22"/>
    </row>
    <row r="600">
      <c r="A600" s="19">
        <f>IFERROR(__xludf.DUMMYFUNCTION("""COMPUTED_VALUE"""),45160.0)</f>
        <v>45160</v>
      </c>
      <c r="B600" s="20">
        <f>IFERROR(__xludf.DUMMYFUNCTION("""COMPUTED_VALUE"""),0.7564555555555557)</f>
        <v>0.7564555556</v>
      </c>
      <c r="C600" s="21">
        <f>IFERROR(__xludf.DUMMYFUNCTION("""COMPUTED_VALUE"""),0.6575)</f>
        <v>0.6575</v>
      </c>
      <c r="D600" s="21">
        <f>IFERROR(__xludf.DUMMYFUNCTION("""COMPUTED_VALUE"""),0.8895)</f>
        <v>0.8895</v>
      </c>
      <c r="E600" s="20">
        <f>IFERROR(__xludf.DUMMYFUNCTION("""COMPUTED_VALUE"""),0.350425)</f>
        <v>0.350425</v>
      </c>
      <c r="F600" s="20">
        <f>IFERROR(__xludf.DUMMYFUNCTION("""COMPUTED_VALUE"""),0.5848394535714286)</f>
        <v>0.5848394536</v>
      </c>
      <c r="G600" s="20">
        <f>IFERROR(__xludf.DUMMYFUNCTION("""COMPUTED_VALUE"""),0.355)</f>
        <v>0.355</v>
      </c>
      <c r="H600" s="23"/>
      <c r="J600" s="22"/>
    </row>
    <row r="601">
      <c r="A601" s="19">
        <f>IFERROR(__xludf.DUMMYFUNCTION("""COMPUTED_VALUE"""),45161.0)</f>
        <v>45161</v>
      </c>
      <c r="B601" s="20">
        <f>IFERROR(__xludf.DUMMYFUNCTION("""COMPUTED_VALUE"""),0.7564555555555557)</f>
        <v>0.7564555556</v>
      </c>
      <c r="C601" s="21">
        <f>IFERROR(__xludf.DUMMYFUNCTION("""COMPUTED_VALUE"""),0.6575)</f>
        <v>0.6575</v>
      </c>
      <c r="D601" s="21">
        <f>IFERROR(__xludf.DUMMYFUNCTION("""COMPUTED_VALUE"""),0.8895)</f>
        <v>0.8895</v>
      </c>
      <c r="E601" s="20">
        <f>IFERROR(__xludf.DUMMYFUNCTION("""COMPUTED_VALUE"""),0.3748821428571429)</f>
        <v>0.3748821429</v>
      </c>
      <c r="F601" s="20">
        <f>IFERROR(__xludf.DUMMYFUNCTION("""COMPUTED_VALUE"""),0.5847679928571428)</f>
        <v>0.5847679929</v>
      </c>
      <c r="G601" s="20">
        <f>IFERROR(__xludf.DUMMYFUNCTION("""COMPUTED_VALUE"""),0.355)</f>
        <v>0.355</v>
      </c>
      <c r="H601" s="23"/>
      <c r="J601" s="22"/>
    </row>
    <row r="602">
      <c r="A602" s="19">
        <f>IFERROR(__xludf.DUMMYFUNCTION("""COMPUTED_VALUE"""),45162.0)</f>
        <v>45162</v>
      </c>
      <c r="B602" s="20">
        <f>IFERROR(__xludf.DUMMYFUNCTION("""COMPUTED_VALUE"""),0.7564555555555557)</f>
        <v>0.7564555556</v>
      </c>
      <c r="C602" s="21">
        <f>IFERROR(__xludf.DUMMYFUNCTION("""COMPUTED_VALUE"""),0.6575)</f>
        <v>0.6575</v>
      </c>
      <c r="D602" s="21">
        <f>IFERROR(__xludf.DUMMYFUNCTION("""COMPUTED_VALUE"""),0.8895)</f>
        <v>0.8895</v>
      </c>
      <c r="E602" s="20">
        <f>IFERROR(__xludf.DUMMYFUNCTION("""COMPUTED_VALUE"""),0.37946785714285713)</f>
        <v>0.3794678571</v>
      </c>
      <c r="F602" s="20">
        <f>IFERROR(__xludf.DUMMYFUNCTION("""COMPUTED_VALUE"""),0.5778745178571427)</f>
        <v>0.5778745179</v>
      </c>
      <c r="G602" s="20">
        <f>IFERROR(__xludf.DUMMYFUNCTION("""COMPUTED_VALUE"""),0.355)</f>
        <v>0.355</v>
      </c>
      <c r="H602" s="23"/>
      <c r="J602" s="22"/>
    </row>
    <row r="603">
      <c r="A603" s="19">
        <f>IFERROR(__xludf.DUMMYFUNCTION("""COMPUTED_VALUE"""),45163.0)</f>
        <v>45163</v>
      </c>
      <c r="B603" s="20">
        <f>IFERROR(__xludf.DUMMYFUNCTION("""COMPUTED_VALUE"""),0.7564555555555557)</f>
        <v>0.7564555556</v>
      </c>
      <c r="C603" s="21">
        <f>IFERROR(__xludf.DUMMYFUNCTION("""COMPUTED_VALUE"""),0.6575)</f>
        <v>0.6575</v>
      </c>
      <c r="D603" s="21">
        <f>IFERROR(__xludf.DUMMYFUNCTION("""COMPUTED_VALUE"""),0.8895)</f>
        <v>0.8895</v>
      </c>
      <c r="E603" s="20">
        <f>IFERROR(__xludf.DUMMYFUNCTION("""COMPUTED_VALUE"""),0.38023214285714285)</f>
        <v>0.3802321429</v>
      </c>
      <c r="F603" s="20">
        <f>IFERROR(__xludf.DUMMYFUNCTION("""COMPUTED_VALUE"""),0.5728974892857142)</f>
        <v>0.5728974893</v>
      </c>
      <c r="G603" s="20">
        <f>IFERROR(__xludf.DUMMYFUNCTION("""COMPUTED_VALUE"""),0.355)</f>
        <v>0.355</v>
      </c>
      <c r="H603" s="23"/>
      <c r="J603" s="22"/>
    </row>
    <row r="604">
      <c r="A604" s="19">
        <f>IFERROR(__xludf.DUMMYFUNCTION("""COMPUTED_VALUE"""),45164.0)</f>
        <v>45164</v>
      </c>
      <c r="B604" s="20">
        <f>IFERROR(__xludf.DUMMYFUNCTION("""COMPUTED_VALUE"""),0.7564555555555557)</f>
        <v>0.7564555556</v>
      </c>
      <c r="C604" s="21">
        <f>IFERROR(__xludf.DUMMYFUNCTION("""COMPUTED_VALUE"""),0.6575)</f>
        <v>0.6575</v>
      </c>
      <c r="D604" s="21">
        <f>IFERROR(__xludf.DUMMYFUNCTION("""COMPUTED_VALUE"""),0.8895)</f>
        <v>0.8895</v>
      </c>
      <c r="E604" s="20">
        <f>IFERROR(__xludf.DUMMYFUNCTION("""COMPUTED_VALUE"""),0.3907792857142857)</f>
        <v>0.3907792857</v>
      </c>
      <c r="F604" s="20">
        <f>IFERROR(__xludf.DUMMYFUNCTION("""COMPUTED_VALUE"""),0.5679204607142857)</f>
        <v>0.5679204607</v>
      </c>
      <c r="G604" s="20">
        <f>IFERROR(__xludf.DUMMYFUNCTION("""COMPUTED_VALUE"""),0.355)</f>
        <v>0.355</v>
      </c>
      <c r="H604" s="23"/>
      <c r="J604" s="22"/>
    </row>
    <row r="605">
      <c r="A605" s="19">
        <f>IFERROR(__xludf.DUMMYFUNCTION("""COMPUTED_VALUE"""),45165.0)</f>
        <v>45165</v>
      </c>
      <c r="B605" s="20">
        <f>IFERROR(__xludf.DUMMYFUNCTION("""COMPUTED_VALUE"""),0.7564555555555557)</f>
        <v>0.7564555556</v>
      </c>
      <c r="C605" s="21">
        <f>IFERROR(__xludf.DUMMYFUNCTION("""COMPUTED_VALUE"""),0.6575)</f>
        <v>0.6575</v>
      </c>
      <c r="D605" s="21">
        <f>IFERROR(__xludf.DUMMYFUNCTION("""COMPUTED_VALUE"""),0.8895)</f>
        <v>0.8895</v>
      </c>
      <c r="E605" s="20">
        <f>IFERROR(__xludf.DUMMYFUNCTION("""COMPUTED_VALUE"""),0.4013264285714286)</f>
        <v>0.4013264286</v>
      </c>
      <c r="F605" s="20">
        <f>IFERROR(__xludf.DUMMYFUNCTION("""COMPUTED_VALUE"""),0.5629434321428571)</f>
        <v>0.5629434321</v>
      </c>
      <c r="G605" s="20">
        <f>IFERROR(__xludf.DUMMYFUNCTION("""COMPUTED_VALUE"""),0.355)</f>
        <v>0.355</v>
      </c>
      <c r="H605" s="23"/>
      <c r="J605" s="22"/>
    </row>
    <row r="606">
      <c r="A606" s="19">
        <f>IFERROR(__xludf.DUMMYFUNCTION("""COMPUTED_VALUE"""),45166.0)</f>
        <v>45166</v>
      </c>
      <c r="B606" s="20">
        <f>IFERROR(__xludf.DUMMYFUNCTION("""COMPUTED_VALUE"""),0.7437333333333335)</f>
        <v>0.7437333333</v>
      </c>
      <c r="C606" s="21">
        <f>IFERROR(__xludf.DUMMYFUNCTION("""COMPUTED_VALUE"""),0.675)</f>
        <v>0.675</v>
      </c>
      <c r="D606" s="21">
        <f>IFERROR(__xludf.DUMMYFUNCTION("""COMPUTED_VALUE"""),0.837)</f>
        <v>0.837</v>
      </c>
      <c r="E606" s="20">
        <f>IFERROR(__xludf.DUMMYFUNCTION("""COMPUTED_VALUE"""),0.41019214285714284)</f>
        <v>0.4101921429</v>
      </c>
      <c r="F606" s="20">
        <f>IFERROR(__xludf.DUMMYFUNCTION("""COMPUTED_VALUE"""),0.5588778142857144)</f>
        <v>0.5588778143</v>
      </c>
      <c r="G606" s="20">
        <f>IFERROR(__xludf.DUMMYFUNCTION("""COMPUTED_VALUE"""),0.355)</f>
        <v>0.355</v>
      </c>
      <c r="H606" s="23"/>
      <c r="J606" s="22"/>
    </row>
    <row r="607">
      <c r="A607" s="19">
        <f>IFERROR(__xludf.DUMMYFUNCTION("""COMPUTED_VALUE"""),45167.0)</f>
        <v>45167</v>
      </c>
      <c r="B607" s="20">
        <f>IFERROR(__xludf.DUMMYFUNCTION("""COMPUTED_VALUE"""),0.7437333333333335)</f>
        <v>0.7437333333</v>
      </c>
      <c r="C607" s="21">
        <f>IFERROR(__xludf.DUMMYFUNCTION("""COMPUTED_VALUE"""),0.675)</f>
        <v>0.675</v>
      </c>
      <c r="D607" s="21">
        <f>IFERROR(__xludf.DUMMYFUNCTION("""COMPUTED_VALUE"""),0.837)</f>
        <v>0.837</v>
      </c>
      <c r="E607" s="20">
        <f>IFERROR(__xludf.DUMMYFUNCTION("""COMPUTED_VALUE"""),0.4121792857142857)</f>
        <v>0.4121792857</v>
      </c>
      <c r="F607" s="20">
        <f>IFERROR(__xludf.DUMMYFUNCTION("""COMPUTED_VALUE"""),0.5503315714285714)</f>
        <v>0.5503315714</v>
      </c>
      <c r="G607" s="20">
        <f>IFERROR(__xludf.DUMMYFUNCTION("""COMPUTED_VALUE"""),0.355)</f>
        <v>0.355</v>
      </c>
      <c r="H607" s="23"/>
      <c r="J607" s="22"/>
    </row>
    <row r="608">
      <c r="A608" s="19">
        <f>IFERROR(__xludf.DUMMYFUNCTION("""COMPUTED_VALUE"""),45168.0)</f>
        <v>45168</v>
      </c>
      <c r="B608" s="20">
        <f>IFERROR(__xludf.DUMMYFUNCTION("""COMPUTED_VALUE"""),0.7437333333333335)</f>
        <v>0.7437333333</v>
      </c>
      <c r="C608" s="21">
        <f>IFERROR(__xludf.DUMMYFUNCTION("""COMPUTED_VALUE"""),0.675)</f>
        <v>0.675</v>
      </c>
      <c r="D608" s="21">
        <f>IFERROR(__xludf.DUMMYFUNCTION("""COMPUTED_VALUE"""),0.837)</f>
        <v>0.837</v>
      </c>
      <c r="E608" s="20">
        <f>IFERROR(__xludf.DUMMYFUNCTION("""COMPUTED_VALUE"""),0.40407785714285716)</f>
        <v>0.4040778571</v>
      </c>
      <c r="F608" s="20">
        <f>IFERROR(__xludf.DUMMYFUNCTION("""COMPUTED_VALUE"""),0.5487537035714285)</f>
        <v>0.5487537036</v>
      </c>
      <c r="G608" s="20">
        <f>IFERROR(__xludf.DUMMYFUNCTION("""COMPUTED_VALUE"""),0.355)</f>
        <v>0.355</v>
      </c>
      <c r="H608" s="23"/>
      <c r="J608" s="22"/>
    </row>
    <row r="609">
      <c r="A609" s="19">
        <f>IFERROR(__xludf.DUMMYFUNCTION("""COMPUTED_VALUE"""),45169.0)</f>
        <v>45169</v>
      </c>
      <c r="B609" s="20">
        <f>IFERROR(__xludf.DUMMYFUNCTION("""COMPUTED_VALUE"""),0.7437333333333335)</f>
        <v>0.7437333333</v>
      </c>
      <c r="C609" s="21">
        <f>IFERROR(__xludf.DUMMYFUNCTION("""COMPUTED_VALUE"""),0.675)</f>
        <v>0.675</v>
      </c>
      <c r="D609" s="21">
        <f>IFERROR(__xludf.DUMMYFUNCTION("""COMPUTED_VALUE"""),0.837)</f>
        <v>0.837</v>
      </c>
      <c r="E609" s="20">
        <f>IFERROR(__xludf.DUMMYFUNCTION("""COMPUTED_VALUE"""),0.40239642857142854)</f>
        <v>0.4023964286</v>
      </c>
      <c r="F609" s="20">
        <f>IFERROR(__xludf.DUMMYFUNCTION("""COMPUTED_VALUE"""),0.5511845142857142)</f>
        <v>0.5511845143</v>
      </c>
      <c r="G609" s="20">
        <f>IFERROR(__xludf.DUMMYFUNCTION("""COMPUTED_VALUE"""),0.355)</f>
        <v>0.355</v>
      </c>
      <c r="H609" s="23"/>
      <c r="J609" s="22"/>
    </row>
    <row r="610">
      <c r="A610" s="19">
        <f>IFERROR(__xludf.DUMMYFUNCTION("""COMPUTED_VALUE"""),45170.0)</f>
        <v>45170</v>
      </c>
      <c r="B610" s="20">
        <f>IFERROR(__xludf.DUMMYFUNCTION("""COMPUTED_VALUE"""),0.7437333333333335)</f>
        <v>0.7437333333</v>
      </c>
      <c r="C610" s="21">
        <f>IFERROR(__xludf.DUMMYFUNCTION("""COMPUTED_VALUE"""),0.675)</f>
        <v>0.675</v>
      </c>
      <c r="D610" s="21">
        <f>IFERROR(__xludf.DUMMYFUNCTION("""COMPUTED_VALUE"""),0.837)</f>
        <v>0.837</v>
      </c>
      <c r="E610" s="20">
        <f>IFERROR(__xludf.DUMMYFUNCTION("""COMPUTED_VALUE"""),0.40239642857142854)</f>
        <v>0.4023964286</v>
      </c>
      <c r="F610" s="20">
        <f>IFERROR(__xludf.DUMMYFUNCTION("""COMPUTED_VALUE"""),0.5510729285714284)</f>
        <v>0.5510729286</v>
      </c>
      <c r="G610" s="20">
        <f>IFERROR(__xludf.DUMMYFUNCTION("""COMPUTED_VALUE"""),0.396)</f>
        <v>0.396</v>
      </c>
      <c r="H610" s="23"/>
      <c r="J610" s="22"/>
    </row>
    <row r="611">
      <c r="A611" s="19">
        <f>IFERROR(__xludf.DUMMYFUNCTION("""COMPUTED_VALUE"""),45171.0)</f>
        <v>45171</v>
      </c>
      <c r="B611" s="20">
        <f>IFERROR(__xludf.DUMMYFUNCTION("""COMPUTED_VALUE"""),0.7437333333333335)</f>
        <v>0.7437333333</v>
      </c>
      <c r="C611" s="21">
        <f>IFERROR(__xludf.DUMMYFUNCTION("""COMPUTED_VALUE"""),0.675)</f>
        <v>0.675</v>
      </c>
      <c r="D611" s="21">
        <f>IFERROR(__xludf.DUMMYFUNCTION("""COMPUTED_VALUE"""),0.837)</f>
        <v>0.837</v>
      </c>
      <c r="E611" s="20">
        <f>IFERROR(__xludf.DUMMYFUNCTION("""COMPUTED_VALUE"""),0.39230785714285715)</f>
        <v>0.3923078571</v>
      </c>
      <c r="F611" s="20">
        <f>IFERROR(__xludf.DUMMYFUNCTION("""COMPUTED_VALUE"""),0.5509613428571428)</f>
        <v>0.5509613429</v>
      </c>
      <c r="G611" s="20">
        <f>IFERROR(__xludf.DUMMYFUNCTION("""COMPUTED_VALUE"""),0.396)</f>
        <v>0.396</v>
      </c>
      <c r="H611" s="23"/>
      <c r="J611" s="22"/>
    </row>
    <row r="612">
      <c r="A612" s="19">
        <f>IFERROR(__xludf.DUMMYFUNCTION("""COMPUTED_VALUE"""),45172.0)</f>
        <v>45172</v>
      </c>
      <c r="B612" s="20">
        <f>IFERROR(__xludf.DUMMYFUNCTION("""COMPUTED_VALUE"""),0.7437333333333335)</f>
        <v>0.7437333333</v>
      </c>
      <c r="C612" s="21">
        <f>IFERROR(__xludf.DUMMYFUNCTION("""COMPUTED_VALUE"""),0.675)</f>
        <v>0.675</v>
      </c>
      <c r="D612" s="21">
        <f>IFERROR(__xludf.DUMMYFUNCTION("""COMPUTED_VALUE"""),0.837)</f>
        <v>0.837</v>
      </c>
      <c r="E612" s="20">
        <f>IFERROR(__xludf.DUMMYFUNCTION("""COMPUTED_VALUE"""),0.38221928571428576)</f>
        <v>0.3822192857</v>
      </c>
      <c r="F612" s="20">
        <f>IFERROR(__xludf.DUMMYFUNCTION("""COMPUTED_VALUE"""),0.5508497571428571)</f>
        <v>0.5508497571</v>
      </c>
      <c r="G612" s="20">
        <f>IFERROR(__xludf.DUMMYFUNCTION("""COMPUTED_VALUE"""),0.396)</f>
        <v>0.396</v>
      </c>
      <c r="H612" s="23"/>
      <c r="J612" s="22"/>
    </row>
    <row r="613">
      <c r="A613" s="19">
        <f>IFERROR(__xludf.DUMMYFUNCTION("""COMPUTED_VALUE"""),45173.0)</f>
        <v>45173</v>
      </c>
      <c r="B613" s="20">
        <f>IFERROR(__xludf.DUMMYFUNCTION("""COMPUTED_VALUE"""),0.7437333333333335)</f>
        <v>0.7437333333</v>
      </c>
      <c r="C613" s="21">
        <f>IFERROR(__xludf.DUMMYFUNCTION("""COMPUTED_VALUE"""),0.675)</f>
        <v>0.675</v>
      </c>
      <c r="D613" s="21">
        <f>IFERROR(__xludf.DUMMYFUNCTION("""COMPUTED_VALUE"""),0.837)</f>
        <v>0.837</v>
      </c>
      <c r="E613" s="20">
        <f>IFERROR(__xludf.DUMMYFUNCTION("""COMPUTED_VALUE"""),0.3728185714285714)</f>
        <v>0.3728185714</v>
      </c>
      <c r="F613" s="20">
        <f>IFERROR(__xludf.DUMMYFUNCTION("""COMPUTED_VALUE"""),0.5447064285714285)</f>
        <v>0.5447064286</v>
      </c>
      <c r="G613" s="20">
        <f>IFERROR(__xludf.DUMMYFUNCTION("""COMPUTED_VALUE"""),0.396)</f>
        <v>0.396</v>
      </c>
      <c r="H613" s="23"/>
      <c r="J613" s="22"/>
    </row>
    <row r="614">
      <c r="A614" s="19">
        <f>IFERROR(__xludf.DUMMYFUNCTION("""COMPUTED_VALUE"""),45174.0)</f>
        <v>45174</v>
      </c>
      <c r="B614" s="20">
        <f>IFERROR(__xludf.DUMMYFUNCTION("""COMPUTED_VALUE"""),0.7437333333333335)</f>
        <v>0.7437333333</v>
      </c>
      <c r="C614" s="21">
        <f>IFERROR(__xludf.DUMMYFUNCTION("""COMPUTED_VALUE"""),0.675)</f>
        <v>0.675</v>
      </c>
      <c r="D614" s="21">
        <f>IFERROR(__xludf.DUMMYFUNCTION("""COMPUTED_VALUE"""),0.837)</f>
        <v>0.837</v>
      </c>
      <c r="E614" s="20">
        <f>IFERROR(__xludf.DUMMYFUNCTION("""COMPUTED_VALUE"""),0.3581442857142857)</f>
        <v>0.3581442857</v>
      </c>
      <c r="F614" s="20">
        <f>IFERROR(__xludf.DUMMYFUNCTION("""COMPUTED_VALUE"""),0.5430429607142856)</f>
        <v>0.5430429607</v>
      </c>
      <c r="G614" s="20">
        <f>IFERROR(__xludf.DUMMYFUNCTION("""COMPUTED_VALUE"""),0.396)</f>
        <v>0.396</v>
      </c>
      <c r="H614" s="23"/>
      <c r="J614" s="22"/>
    </row>
    <row r="615">
      <c r="A615" s="19">
        <f>IFERROR(__xludf.DUMMYFUNCTION("""COMPUTED_VALUE"""),45175.0)</f>
        <v>45175</v>
      </c>
      <c r="B615" s="20">
        <f>IFERROR(__xludf.DUMMYFUNCTION("""COMPUTED_VALUE"""),0.7437333333333335)</f>
        <v>0.7437333333</v>
      </c>
      <c r="C615" s="21">
        <f>IFERROR(__xludf.DUMMYFUNCTION("""COMPUTED_VALUE"""),0.675)</f>
        <v>0.675</v>
      </c>
      <c r="D615" s="21">
        <f>IFERROR(__xludf.DUMMYFUNCTION("""COMPUTED_VALUE"""),0.837)</f>
        <v>0.837</v>
      </c>
      <c r="E615" s="20">
        <f>IFERROR(__xludf.DUMMYFUNCTION("""COMPUTED_VALUE"""),0.3503485714285714)</f>
        <v>0.3503485714</v>
      </c>
      <c r="F615" s="20">
        <f>IFERROR(__xludf.DUMMYFUNCTION("""COMPUTED_VALUE"""),0.5359098821428571)</f>
        <v>0.5359098821</v>
      </c>
      <c r="G615" s="20">
        <f>IFERROR(__xludf.DUMMYFUNCTION("""COMPUTED_VALUE"""),0.396)</f>
        <v>0.396</v>
      </c>
      <c r="H615" s="23"/>
      <c r="J615" s="22"/>
    </row>
    <row r="616">
      <c r="A616" s="19">
        <f>IFERROR(__xludf.DUMMYFUNCTION("""COMPUTED_VALUE"""),45176.0)</f>
        <v>45176</v>
      </c>
      <c r="B616" s="20">
        <f>IFERROR(__xludf.DUMMYFUNCTION("""COMPUTED_VALUE"""),0.7437333333333335)</f>
        <v>0.7437333333</v>
      </c>
      <c r="C616" s="21">
        <f>IFERROR(__xludf.DUMMYFUNCTION("""COMPUTED_VALUE"""),0.675)</f>
        <v>0.675</v>
      </c>
      <c r="D616" s="21">
        <f>IFERROR(__xludf.DUMMYFUNCTION("""COMPUTED_VALUE"""),0.837)</f>
        <v>0.837</v>
      </c>
      <c r="E616" s="20">
        <f>IFERROR(__xludf.DUMMYFUNCTION("""COMPUTED_VALUE"""),0.34515142857142855)</f>
        <v>0.3451514286</v>
      </c>
      <c r="F616" s="20">
        <f>IFERROR(__xludf.DUMMYFUNCTION("""COMPUTED_VALUE"""),0.5333124571428571)</f>
        <v>0.5333124571</v>
      </c>
      <c r="G616" s="20">
        <f>IFERROR(__xludf.DUMMYFUNCTION("""COMPUTED_VALUE"""),0.396)</f>
        <v>0.396</v>
      </c>
      <c r="H616" s="23"/>
      <c r="J616" s="22"/>
    </row>
    <row r="617">
      <c r="A617" s="19">
        <f>IFERROR(__xludf.DUMMYFUNCTION("""COMPUTED_VALUE"""),45177.0)</f>
        <v>45177</v>
      </c>
      <c r="B617" s="20">
        <f>IFERROR(__xludf.DUMMYFUNCTION("""COMPUTED_VALUE"""),0.7437333333333335)</f>
        <v>0.7437333333</v>
      </c>
      <c r="C617" s="21">
        <f>IFERROR(__xludf.DUMMYFUNCTION("""COMPUTED_VALUE"""),0.675)</f>
        <v>0.675</v>
      </c>
      <c r="D617" s="21">
        <f>IFERROR(__xludf.DUMMYFUNCTION("""COMPUTED_VALUE"""),0.837)</f>
        <v>0.837</v>
      </c>
      <c r="E617" s="20">
        <f>IFERROR(__xludf.DUMMYFUNCTION("""COMPUTED_VALUE"""),0.346145)</f>
        <v>0.346145</v>
      </c>
      <c r="F617" s="20">
        <f>IFERROR(__xludf.DUMMYFUNCTION("""COMPUTED_VALUE"""),0.5310658392857143)</f>
        <v>0.5310658393</v>
      </c>
      <c r="G617" s="20">
        <f>IFERROR(__xludf.DUMMYFUNCTION("""COMPUTED_VALUE"""),0.396)</f>
        <v>0.396</v>
      </c>
      <c r="H617" s="23"/>
      <c r="J617" s="22"/>
    </row>
    <row r="618">
      <c r="A618" s="19">
        <f>IFERROR(__xludf.DUMMYFUNCTION("""COMPUTED_VALUE"""),45178.0)</f>
        <v>45178</v>
      </c>
      <c r="B618" s="20">
        <f>IFERROR(__xludf.DUMMYFUNCTION("""COMPUTED_VALUE"""),0.7437333333333335)</f>
        <v>0.7437333333</v>
      </c>
      <c r="C618" s="21">
        <f>IFERROR(__xludf.DUMMYFUNCTION("""COMPUTED_VALUE"""),0.675)</f>
        <v>0.675</v>
      </c>
      <c r="D618" s="21">
        <f>IFERROR(__xludf.DUMMYFUNCTION("""COMPUTED_VALUE"""),0.837)</f>
        <v>0.837</v>
      </c>
      <c r="E618" s="20">
        <f>IFERROR(__xludf.DUMMYFUNCTION("""COMPUTED_VALUE"""),0.35210642857142854)</f>
        <v>0.3521064286</v>
      </c>
      <c r="F618" s="20">
        <f>IFERROR(__xludf.DUMMYFUNCTION("""COMPUTED_VALUE"""),0.5288192214285713)</f>
        <v>0.5288192214</v>
      </c>
      <c r="G618" s="20">
        <f>IFERROR(__xludf.DUMMYFUNCTION("""COMPUTED_VALUE"""),0.396)</f>
        <v>0.396</v>
      </c>
      <c r="H618" s="23"/>
      <c r="J618" s="22"/>
    </row>
    <row r="619">
      <c r="A619" s="19">
        <f>IFERROR(__xludf.DUMMYFUNCTION("""COMPUTED_VALUE"""),45179.0)</f>
        <v>45179</v>
      </c>
      <c r="B619" s="20">
        <f>IFERROR(__xludf.DUMMYFUNCTION("""COMPUTED_VALUE"""),0.7437333333333335)</f>
        <v>0.7437333333</v>
      </c>
      <c r="C619" s="21">
        <f>IFERROR(__xludf.DUMMYFUNCTION("""COMPUTED_VALUE"""),0.675)</f>
        <v>0.675</v>
      </c>
      <c r="D619" s="21">
        <f>IFERROR(__xludf.DUMMYFUNCTION("""COMPUTED_VALUE"""),0.837)</f>
        <v>0.837</v>
      </c>
      <c r="E619" s="20">
        <f>IFERROR(__xludf.DUMMYFUNCTION("""COMPUTED_VALUE"""),0.3580678571428571)</f>
        <v>0.3580678571</v>
      </c>
      <c r="F619" s="20">
        <f>IFERROR(__xludf.DUMMYFUNCTION("""COMPUTED_VALUE"""),0.5265726035714284)</f>
        <v>0.5265726036</v>
      </c>
      <c r="G619" s="20">
        <f>IFERROR(__xludf.DUMMYFUNCTION("""COMPUTED_VALUE"""),0.396)</f>
        <v>0.396</v>
      </c>
      <c r="H619" s="23"/>
      <c r="J619" s="22"/>
    </row>
    <row r="620">
      <c r="A620" s="19">
        <f>IFERROR(__xludf.DUMMYFUNCTION("""COMPUTED_VALUE"""),45180.0)</f>
        <v>45180</v>
      </c>
      <c r="B620" s="20">
        <f>IFERROR(__xludf.DUMMYFUNCTION("""COMPUTED_VALUE"""),0.7485800000000001)</f>
        <v>0.74858</v>
      </c>
      <c r="C620" s="21">
        <f>IFERROR(__xludf.DUMMYFUNCTION("""COMPUTED_VALUE"""),0.6969)</f>
        <v>0.6969</v>
      </c>
      <c r="D620" s="21">
        <f>IFERROR(__xludf.DUMMYFUNCTION("""COMPUTED_VALUE"""),0.834)</f>
        <v>0.834</v>
      </c>
      <c r="E620" s="20">
        <f>IFERROR(__xludf.DUMMYFUNCTION("""COMPUTED_VALUE"""),0.3653285714285714)</f>
        <v>0.3653285714</v>
      </c>
      <c r="F620" s="20">
        <f>IFERROR(__xludf.DUMMYFUNCTION("""COMPUTED_VALUE"""),0.5270365249999999)</f>
        <v>0.527036525</v>
      </c>
      <c r="G620" s="20">
        <f>IFERROR(__xludf.DUMMYFUNCTION("""COMPUTED_VALUE"""),0.396)</f>
        <v>0.396</v>
      </c>
      <c r="H620" s="23"/>
      <c r="J620" s="22"/>
    </row>
    <row r="621">
      <c r="A621" s="19">
        <f>IFERROR(__xludf.DUMMYFUNCTION("""COMPUTED_VALUE"""),45181.0)</f>
        <v>45181</v>
      </c>
      <c r="B621" s="20">
        <f>IFERROR(__xludf.DUMMYFUNCTION("""COMPUTED_VALUE"""),0.7485800000000001)</f>
        <v>0.74858</v>
      </c>
      <c r="C621" s="21">
        <f>IFERROR(__xludf.DUMMYFUNCTION("""COMPUTED_VALUE"""),0.6969)</f>
        <v>0.6969</v>
      </c>
      <c r="D621" s="21">
        <f>IFERROR(__xludf.DUMMYFUNCTION("""COMPUTED_VALUE"""),0.834)</f>
        <v>0.834</v>
      </c>
      <c r="E621" s="20">
        <f>IFERROR(__xludf.DUMMYFUNCTION("""COMPUTED_VALUE"""),0.37816857142857135)</f>
        <v>0.3781685714</v>
      </c>
      <c r="F621" s="20">
        <f>IFERROR(__xludf.DUMMYFUNCTION("""COMPUTED_VALUE"""),0.5254212071428571)</f>
        <v>0.5254212071</v>
      </c>
      <c r="G621" s="20">
        <f>IFERROR(__xludf.DUMMYFUNCTION("""COMPUTED_VALUE"""),0.396)</f>
        <v>0.396</v>
      </c>
      <c r="H621" s="23"/>
      <c r="J621" s="22"/>
    </row>
    <row r="622">
      <c r="A622" s="19">
        <f>IFERROR(__xludf.DUMMYFUNCTION("""COMPUTED_VALUE"""),45182.0)</f>
        <v>45182</v>
      </c>
      <c r="B622" s="20">
        <f>IFERROR(__xludf.DUMMYFUNCTION("""COMPUTED_VALUE"""),0.7485800000000001)</f>
        <v>0.74858</v>
      </c>
      <c r="C622" s="21">
        <f>IFERROR(__xludf.DUMMYFUNCTION("""COMPUTED_VALUE"""),0.6969)</f>
        <v>0.6969</v>
      </c>
      <c r="D622" s="21">
        <f>IFERROR(__xludf.DUMMYFUNCTION("""COMPUTED_VALUE"""),0.834)</f>
        <v>0.834</v>
      </c>
      <c r="E622" s="20">
        <f>IFERROR(__xludf.DUMMYFUNCTION("""COMPUTED_VALUE"""),0.38519999999999993)</f>
        <v>0.3852</v>
      </c>
      <c r="F622" s="20">
        <f>IFERROR(__xludf.DUMMYFUNCTION("""COMPUTED_VALUE"""),0.5292307892857142)</f>
        <v>0.5292307893</v>
      </c>
      <c r="G622" s="20">
        <f>IFERROR(__xludf.DUMMYFUNCTION("""COMPUTED_VALUE"""),0.396)</f>
        <v>0.396</v>
      </c>
      <c r="H622" s="23"/>
      <c r="J622" s="22"/>
    </row>
    <row r="623">
      <c r="A623" s="19">
        <f>IFERROR(__xludf.DUMMYFUNCTION("""COMPUTED_VALUE"""),45183.0)</f>
        <v>45183</v>
      </c>
      <c r="B623" s="20">
        <f>IFERROR(__xludf.DUMMYFUNCTION("""COMPUTED_VALUE"""),0.7485800000000001)</f>
        <v>0.74858</v>
      </c>
      <c r="C623" s="21">
        <f>IFERROR(__xludf.DUMMYFUNCTION("""COMPUTED_VALUE"""),0.6969)</f>
        <v>0.6969</v>
      </c>
      <c r="D623" s="21">
        <f>IFERROR(__xludf.DUMMYFUNCTION("""COMPUTED_VALUE"""),0.834)</f>
        <v>0.834</v>
      </c>
      <c r="E623" s="20">
        <f>IFERROR(__xludf.DUMMYFUNCTION("""COMPUTED_VALUE"""),0.3939128571428571)</f>
        <v>0.3939128571</v>
      </c>
      <c r="F623" s="20">
        <f>IFERROR(__xludf.DUMMYFUNCTION("""COMPUTED_VALUE"""),0.5304723714285714)</f>
        <v>0.5304723714</v>
      </c>
      <c r="G623" s="20">
        <f>IFERROR(__xludf.DUMMYFUNCTION("""COMPUTED_VALUE"""),0.396)</f>
        <v>0.396</v>
      </c>
      <c r="H623" s="23"/>
      <c r="J623" s="22"/>
    </row>
    <row r="624">
      <c r="A624" s="19">
        <f>IFERROR(__xludf.DUMMYFUNCTION("""COMPUTED_VALUE"""),45184.0)</f>
        <v>45184</v>
      </c>
      <c r="B624" s="20">
        <f>IFERROR(__xludf.DUMMYFUNCTION("""COMPUTED_VALUE"""),0.7485800000000001)</f>
        <v>0.74858</v>
      </c>
      <c r="C624" s="21">
        <f>IFERROR(__xludf.DUMMYFUNCTION("""COMPUTED_VALUE"""),0.6969)</f>
        <v>0.6969</v>
      </c>
      <c r="D624" s="21">
        <f>IFERROR(__xludf.DUMMYFUNCTION("""COMPUTED_VALUE"""),0.834)</f>
        <v>0.834</v>
      </c>
      <c r="E624" s="20">
        <f>IFERROR(__xludf.DUMMYFUNCTION("""COMPUTED_VALUE"""),0.3982692857142857)</f>
        <v>0.3982692857</v>
      </c>
      <c r="F624" s="20">
        <f>IFERROR(__xludf.DUMMYFUNCTION("""COMPUTED_VALUE"""),0.5320242535714285)</f>
        <v>0.5320242536</v>
      </c>
      <c r="G624" s="20">
        <f>IFERROR(__xludf.DUMMYFUNCTION("""COMPUTED_VALUE"""),0.396)</f>
        <v>0.396</v>
      </c>
      <c r="H624" s="23"/>
      <c r="J624" s="22"/>
    </row>
    <row r="625">
      <c r="A625" s="19">
        <f>IFERROR(__xludf.DUMMYFUNCTION("""COMPUTED_VALUE"""),45185.0)</f>
        <v>45185</v>
      </c>
      <c r="B625" s="20">
        <f>IFERROR(__xludf.DUMMYFUNCTION("""COMPUTED_VALUE"""),0.7485800000000001)</f>
        <v>0.74858</v>
      </c>
      <c r="C625" s="21">
        <f>IFERROR(__xludf.DUMMYFUNCTION("""COMPUTED_VALUE"""),0.6969)</f>
        <v>0.6969</v>
      </c>
      <c r="D625" s="21">
        <f>IFERROR(__xludf.DUMMYFUNCTION("""COMPUTED_VALUE"""),0.834)</f>
        <v>0.834</v>
      </c>
      <c r="E625" s="20">
        <f>IFERROR(__xludf.DUMMYFUNCTION("""COMPUTED_VALUE"""),0.4031607142857143)</f>
        <v>0.4031607143</v>
      </c>
      <c r="F625" s="20">
        <f>IFERROR(__xludf.DUMMYFUNCTION("""COMPUTED_VALUE"""),0.5335761357142857)</f>
        <v>0.5335761357</v>
      </c>
      <c r="G625" s="20">
        <f>IFERROR(__xludf.DUMMYFUNCTION("""COMPUTED_VALUE"""),0.396)</f>
        <v>0.396</v>
      </c>
      <c r="H625" s="23"/>
      <c r="J625" s="22"/>
    </row>
    <row r="626">
      <c r="A626" s="19">
        <f>IFERROR(__xludf.DUMMYFUNCTION("""COMPUTED_VALUE"""),45186.0)</f>
        <v>45186</v>
      </c>
      <c r="B626" s="20">
        <f>IFERROR(__xludf.DUMMYFUNCTION("""COMPUTED_VALUE"""),0.7485800000000001)</f>
        <v>0.74858</v>
      </c>
      <c r="C626" s="21">
        <f>IFERROR(__xludf.DUMMYFUNCTION("""COMPUTED_VALUE"""),0.6969)</f>
        <v>0.6969</v>
      </c>
      <c r="D626" s="21">
        <f>IFERROR(__xludf.DUMMYFUNCTION("""COMPUTED_VALUE"""),0.834)</f>
        <v>0.834</v>
      </c>
      <c r="E626" s="20">
        <f>IFERROR(__xludf.DUMMYFUNCTION("""COMPUTED_VALUE"""),0.4080521428571429)</f>
        <v>0.4080521429</v>
      </c>
      <c r="F626" s="20">
        <f>IFERROR(__xludf.DUMMYFUNCTION("""COMPUTED_VALUE"""),0.5351280178571428)</f>
        <v>0.5351280179</v>
      </c>
      <c r="G626" s="20">
        <f>IFERROR(__xludf.DUMMYFUNCTION("""COMPUTED_VALUE"""),0.396)</f>
        <v>0.396</v>
      </c>
      <c r="H626" s="23"/>
      <c r="J626" s="22"/>
    </row>
    <row r="627">
      <c r="A627" s="19">
        <f>IFERROR(__xludf.DUMMYFUNCTION("""COMPUTED_VALUE"""),45187.0)</f>
        <v>45187</v>
      </c>
      <c r="B627" s="20">
        <f>IFERROR(__xludf.DUMMYFUNCTION("""COMPUTED_VALUE"""),0.7485800000000001)</f>
        <v>0.74858</v>
      </c>
      <c r="C627" s="21">
        <f>IFERROR(__xludf.DUMMYFUNCTION("""COMPUTED_VALUE"""),0.6969)</f>
        <v>0.6969</v>
      </c>
      <c r="D627" s="21">
        <f>IFERROR(__xludf.DUMMYFUNCTION("""COMPUTED_VALUE"""),0.834)</f>
        <v>0.834</v>
      </c>
      <c r="E627" s="20">
        <f>IFERROR(__xludf.DUMMYFUNCTION("""COMPUTED_VALUE"""),0.40896928571428565)</f>
        <v>0.4089692857</v>
      </c>
      <c r="F627" s="20">
        <f>IFERROR(__xludf.DUMMYFUNCTION("""COMPUTED_VALUE"""),0.5333716892857143)</f>
        <v>0.5333716893</v>
      </c>
      <c r="G627" s="20">
        <f>IFERROR(__xludf.DUMMYFUNCTION("""COMPUTED_VALUE"""),0.396)</f>
        <v>0.396</v>
      </c>
      <c r="H627" s="23"/>
      <c r="J627" s="22"/>
    </row>
    <row r="628">
      <c r="A628" s="19">
        <f>IFERROR(__xludf.DUMMYFUNCTION("""COMPUTED_VALUE"""),45188.0)</f>
        <v>45188</v>
      </c>
      <c r="B628" s="20">
        <f>IFERROR(__xludf.DUMMYFUNCTION("""COMPUTED_VALUE"""),0.7485800000000001)</f>
        <v>0.74858</v>
      </c>
      <c r="C628" s="21">
        <f>IFERROR(__xludf.DUMMYFUNCTION("""COMPUTED_VALUE"""),0.6969)</f>
        <v>0.6969</v>
      </c>
      <c r="D628" s="21">
        <f>IFERROR(__xludf.DUMMYFUNCTION("""COMPUTED_VALUE"""),0.834)</f>
        <v>0.834</v>
      </c>
      <c r="E628" s="20">
        <f>IFERROR(__xludf.DUMMYFUNCTION("""COMPUTED_VALUE"""),0.40262571428571425)</f>
        <v>0.4026257143</v>
      </c>
      <c r="F628" s="20">
        <f>IFERROR(__xludf.DUMMYFUNCTION("""COMPUTED_VALUE"""),0.5333319464285714)</f>
        <v>0.5333319464</v>
      </c>
      <c r="G628" s="20">
        <f>IFERROR(__xludf.DUMMYFUNCTION("""COMPUTED_VALUE"""),0.396)</f>
        <v>0.396</v>
      </c>
      <c r="H628" s="23"/>
      <c r="J628" s="22"/>
    </row>
    <row r="629">
      <c r="A629" s="19">
        <f>IFERROR(__xludf.DUMMYFUNCTION("""COMPUTED_VALUE"""),45189.0)</f>
        <v>45189</v>
      </c>
      <c r="B629" s="20">
        <f>IFERROR(__xludf.DUMMYFUNCTION("""COMPUTED_VALUE"""),0.7485800000000001)</f>
        <v>0.74858</v>
      </c>
      <c r="C629" s="21">
        <f>IFERROR(__xludf.DUMMYFUNCTION("""COMPUTED_VALUE"""),0.6969)</f>
        <v>0.6969</v>
      </c>
      <c r="D629" s="21">
        <f>IFERROR(__xludf.DUMMYFUNCTION("""COMPUTED_VALUE"""),0.834)</f>
        <v>0.834</v>
      </c>
      <c r="E629" s="20">
        <f>IFERROR(__xludf.DUMMYFUNCTION("""COMPUTED_VALUE"""),0.39995071428571427)</f>
        <v>0.3999507143</v>
      </c>
      <c r="F629" s="20">
        <f>IFERROR(__xludf.DUMMYFUNCTION("""COMPUTED_VALUE"""),0.52965)</f>
        <v>0.52965</v>
      </c>
      <c r="G629" s="20">
        <f>IFERROR(__xludf.DUMMYFUNCTION("""COMPUTED_VALUE"""),0.396)</f>
        <v>0.396</v>
      </c>
      <c r="H629" s="23"/>
      <c r="J629" s="22"/>
    </row>
    <row r="630">
      <c r="A630" s="19">
        <f>IFERROR(__xludf.DUMMYFUNCTION("""COMPUTED_VALUE"""),45190.0)</f>
        <v>45190</v>
      </c>
      <c r="B630" s="20">
        <f>IFERROR(__xludf.DUMMYFUNCTION("""COMPUTED_VALUE"""),0.7485800000000001)</f>
        <v>0.74858</v>
      </c>
      <c r="C630" s="21">
        <f>IFERROR(__xludf.DUMMYFUNCTION("""COMPUTED_VALUE"""),0.6969)</f>
        <v>0.6969</v>
      </c>
      <c r="D630" s="21">
        <f>IFERROR(__xludf.DUMMYFUNCTION("""COMPUTED_VALUE"""),0.834)</f>
        <v>0.834</v>
      </c>
      <c r="E630" s="20">
        <f>IFERROR(__xludf.DUMMYFUNCTION("""COMPUTED_VALUE"""),0.39903357142857143)</f>
        <v>0.3990335714</v>
      </c>
      <c r="F630" s="20">
        <f>IFERROR(__xludf.DUMMYFUNCTION("""COMPUTED_VALUE"""),0.5278374964285714)</f>
        <v>0.5278374964</v>
      </c>
      <c r="G630" s="20">
        <f>IFERROR(__xludf.DUMMYFUNCTION("""COMPUTED_VALUE"""),0.396)</f>
        <v>0.396</v>
      </c>
      <c r="H630" s="23"/>
      <c r="J630" s="22"/>
    </row>
    <row r="631">
      <c r="A631" s="19">
        <f>IFERROR(__xludf.DUMMYFUNCTION("""COMPUTED_VALUE"""),45191.0)</f>
        <v>45191</v>
      </c>
      <c r="B631" s="20">
        <f>IFERROR(__xludf.DUMMYFUNCTION("""COMPUTED_VALUE"""),0.7485800000000001)</f>
        <v>0.74858</v>
      </c>
      <c r="C631" s="21">
        <f>IFERROR(__xludf.DUMMYFUNCTION("""COMPUTED_VALUE"""),0.6969)</f>
        <v>0.6969</v>
      </c>
      <c r="D631" s="21">
        <f>IFERROR(__xludf.DUMMYFUNCTION("""COMPUTED_VALUE"""),0.834)</f>
        <v>0.834</v>
      </c>
      <c r="E631" s="20">
        <f>IFERROR(__xludf.DUMMYFUNCTION("""COMPUTED_VALUE"""),0.40354285714285715)</f>
        <v>0.4035428571</v>
      </c>
      <c r="F631" s="20">
        <f>IFERROR(__xludf.DUMMYFUNCTION("""COMPUTED_VALUE"""),0.5256367357142856)</f>
        <v>0.5256367357</v>
      </c>
      <c r="G631" s="20">
        <f>IFERROR(__xludf.DUMMYFUNCTION("""COMPUTED_VALUE"""),0.396)</f>
        <v>0.396</v>
      </c>
      <c r="H631" s="23"/>
      <c r="J631" s="22"/>
    </row>
    <row r="632">
      <c r="A632" s="19">
        <f>IFERROR(__xludf.DUMMYFUNCTION("""COMPUTED_VALUE"""),45192.0)</f>
        <v>45192</v>
      </c>
      <c r="B632" s="20">
        <f>IFERROR(__xludf.DUMMYFUNCTION("""COMPUTED_VALUE"""),0.7485800000000001)</f>
        <v>0.74858</v>
      </c>
      <c r="C632" s="21">
        <f>IFERROR(__xludf.DUMMYFUNCTION("""COMPUTED_VALUE"""),0.6969)</f>
        <v>0.6969</v>
      </c>
      <c r="D632" s="21">
        <f>IFERROR(__xludf.DUMMYFUNCTION("""COMPUTED_VALUE"""),0.834)</f>
        <v>0.834</v>
      </c>
      <c r="E632" s="20">
        <f>IFERROR(__xludf.DUMMYFUNCTION("""COMPUTED_VALUE"""),0.40430714285714286)</f>
        <v>0.4043071429</v>
      </c>
      <c r="F632" s="20">
        <f>IFERROR(__xludf.DUMMYFUNCTION("""COMPUTED_VALUE"""),0.5234359749999999)</f>
        <v>0.523435975</v>
      </c>
      <c r="G632" s="20">
        <f>IFERROR(__xludf.DUMMYFUNCTION("""COMPUTED_VALUE"""),0.396)</f>
        <v>0.396</v>
      </c>
      <c r="H632" s="23"/>
      <c r="J632" s="22"/>
    </row>
    <row r="633">
      <c r="A633" s="19">
        <f>IFERROR(__xludf.DUMMYFUNCTION("""COMPUTED_VALUE"""),45193.0)</f>
        <v>45193</v>
      </c>
      <c r="B633" s="20">
        <f>IFERROR(__xludf.DUMMYFUNCTION("""COMPUTED_VALUE"""),0.7485800000000001)</f>
        <v>0.74858</v>
      </c>
      <c r="C633" s="21">
        <f>IFERROR(__xludf.DUMMYFUNCTION("""COMPUTED_VALUE"""),0.6969)</f>
        <v>0.6969</v>
      </c>
      <c r="D633" s="21">
        <f>IFERROR(__xludf.DUMMYFUNCTION("""COMPUTED_VALUE"""),0.834)</f>
        <v>0.834</v>
      </c>
      <c r="E633" s="20">
        <f>IFERROR(__xludf.DUMMYFUNCTION("""COMPUTED_VALUE"""),0.4050714285714286)</f>
        <v>0.4050714286</v>
      </c>
      <c r="F633" s="20">
        <f>IFERROR(__xludf.DUMMYFUNCTION("""COMPUTED_VALUE"""),0.5212352142857142)</f>
        <v>0.5212352143</v>
      </c>
      <c r="G633" s="20">
        <f>IFERROR(__xludf.DUMMYFUNCTION("""COMPUTED_VALUE"""),0.396)</f>
        <v>0.396</v>
      </c>
      <c r="H633" s="23"/>
      <c r="J633" s="22"/>
    </row>
    <row r="634">
      <c r="A634" s="19">
        <f>IFERROR(__xludf.DUMMYFUNCTION("""COMPUTED_VALUE"""),45194.0)</f>
        <v>45194</v>
      </c>
      <c r="B634" s="20">
        <f>IFERROR(__xludf.DUMMYFUNCTION("""COMPUTED_VALUE"""),0.7622176470588236)</f>
        <v>0.7622176471</v>
      </c>
      <c r="C634" s="21">
        <f>IFERROR(__xludf.DUMMYFUNCTION("""COMPUTED_VALUE"""),0.68475)</f>
        <v>0.68475</v>
      </c>
      <c r="D634" s="21">
        <f>IFERROR(__xludf.DUMMYFUNCTION("""COMPUTED_VALUE"""),0.874)</f>
        <v>0.874</v>
      </c>
      <c r="E634" s="20">
        <f>IFERROR(__xludf.DUMMYFUNCTION("""COMPUTED_VALUE"""),0.40759357142857144)</f>
        <v>0.4075935714</v>
      </c>
      <c r="F634" s="20">
        <f>IFERROR(__xludf.DUMMYFUNCTION("""COMPUTED_VALUE"""),0.5242140178571427)</f>
        <v>0.5242140179</v>
      </c>
      <c r="G634" s="20">
        <f>IFERROR(__xludf.DUMMYFUNCTION("""COMPUTED_VALUE"""),0.396)</f>
        <v>0.396</v>
      </c>
      <c r="H634" s="23"/>
      <c r="J634" s="22"/>
    </row>
    <row r="635">
      <c r="A635" s="19">
        <f>IFERROR(__xludf.DUMMYFUNCTION("""COMPUTED_VALUE"""),45195.0)</f>
        <v>45195</v>
      </c>
      <c r="B635" s="20">
        <f>IFERROR(__xludf.DUMMYFUNCTION("""COMPUTED_VALUE"""),0.7622176470588236)</f>
        <v>0.7622176471</v>
      </c>
      <c r="C635" s="21">
        <f>IFERROR(__xludf.DUMMYFUNCTION("""COMPUTED_VALUE"""),0.68475)</f>
        <v>0.68475</v>
      </c>
      <c r="D635" s="21">
        <f>IFERROR(__xludf.DUMMYFUNCTION("""COMPUTED_VALUE"""),0.874)</f>
        <v>0.874</v>
      </c>
      <c r="E635" s="20">
        <f>IFERROR(__xludf.DUMMYFUNCTION("""COMPUTED_VALUE"""),0.41821714285714284)</f>
        <v>0.4182171429</v>
      </c>
      <c r="F635" s="20">
        <f>IFERROR(__xludf.DUMMYFUNCTION("""COMPUTED_VALUE"""),0.5215650035714285)</f>
        <v>0.5215650036</v>
      </c>
      <c r="G635" s="20">
        <f>IFERROR(__xludf.DUMMYFUNCTION("""COMPUTED_VALUE"""),0.396)</f>
        <v>0.396</v>
      </c>
      <c r="H635" s="23"/>
      <c r="J635" s="22"/>
    </row>
    <row r="636">
      <c r="A636" s="19">
        <f>IFERROR(__xludf.DUMMYFUNCTION("""COMPUTED_VALUE"""),45196.0)</f>
        <v>45196</v>
      </c>
      <c r="B636" s="20">
        <f>IFERROR(__xludf.DUMMYFUNCTION("""COMPUTED_VALUE"""),0.7622176470588236)</f>
        <v>0.7622176471</v>
      </c>
      <c r="C636" s="21">
        <f>IFERROR(__xludf.DUMMYFUNCTION("""COMPUTED_VALUE"""),0.68475)</f>
        <v>0.68475</v>
      </c>
      <c r="D636" s="21">
        <f>IFERROR(__xludf.DUMMYFUNCTION("""COMPUTED_VALUE"""),0.874)</f>
        <v>0.874</v>
      </c>
      <c r="E636" s="20">
        <f>IFERROR(__xludf.DUMMYFUNCTION("""COMPUTED_VALUE"""),0.42318500000000003)</f>
        <v>0.423185</v>
      </c>
      <c r="F636" s="20">
        <f>IFERROR(__xludf.DUMMYFUNCTION("""COMPUTED_VALUE"""),0.5197398892857142)</f>
        <v>0.5197398893</v>
      </c>
      <c r="G636" s="20">
        <f>IFERROR(__xludf.DUMMYFUNCTION("""COMPUTED_VALUE"""),0.396)</f>
        <v>0.396</v>
      </c>
      <c r="H636" s="23"/>
      <c r="J636" s="22"/>
    </row>
    <row r="637">
      <c r="A637" s="19">
        <f>IFERROR(__xludf.DUMMYFUNCTION("""COMPUTED_VALUE"""),45197.0)</f>
        <v>45197</v>
      </c>
      <c r="B637" s="20">
        <f>IFERROR(__xludf.DUMMYFUNCTION("""COMPUTED_VALUE"""),0.7622176470588236)</f>
        <v>0.7622176471</v>
      </c>
      <c r="C637" s="21">
        <f>IFERROR(__xludf.DUMMYFUNCTION("""COMPUTED_VALUE"""),0.68475)</f>
        <v>0.68475</v>
      </c>
      <c r="D637" s="21">
        <f>IFERROR(__xludf.DUMMYFUNCTION("""COMPUTED_VALUE"""),0.874)</f>
        <v>0.874</v>
      </c>
      <c r="E637" s="20">
        <f>IFERROR(__xludf.DUMMYFUNCTION("""COMPUTED_VALUE"""),0.424255)</f>
        <v>0.424255</v>
      </c>
      <c r="F637" s="20">
        <f>IFERROR(__xludf.DUMMYFUNCTION("""COMPUTED_VALUE"""),0.5197085535714285)</f>
        <v>0.5197085536</v>
      </c>
      <c r="G637" s="20">
        <f>IFERROR(__xludf.DUMMYFUNCTION("""COMPUTED_VALUE"""),0.396)</f>
        <v>0.396</v>
      </c>
      <c r="H637" s="23"/>
      <c r="J637" s="22"/>
    </row>
    <row r="638">
      <c r="A638" s="19">
        <f>IFERROR(__xludf.DUMMYFUNCTION("""COMPUTED_VALUE"""),45198.0)</f>
        <v>45198</v>
      </c>
      <c r="B638" s="20">
        <f>IFERROR(__xludf.DUMMYFUNCTION("""COMPUTED_VALUE"""),0.7622176470588236)</f>
        <v>0.7622176471</v>
      </c>
      <c r="C638" s="21">
        <f>IFERROR(__xludf.DUMMYFUNCTION("""COMPUTED_VALUE"""),0.68475)</f>
        <v>0.68475</v>
      </c>
      <c r="D638" s="21">
        <f>IFERROR(__xludf.DUMMYFUNCTION("""COMPUTED_VALUE"""),0.874)</f>
        <v>0.874</v>
      </c>
      <c r="E638" s="20">
        <f>IFERROR(__xludf.DUMMYFUNCTION("""COMPUTED_VALUE"""),0.4245607142857143)</f>
        <v>0.4245607143</v>
      </c>
      <c r="F638" s="20">
        <f>IFERROR(__xludf.DUMMYFUNCTION("""COMPUTED_VALUE"""),0.5192851392857143)</f>
        <v>0.5192851393</v>
      </c>
      <c r="G638" s="20">
        <f>IFERROR(__xludf.DUMMYFUNCTION("""COMPUTED_VALUE"""),0.396)</f>
        <v>0.396</v>
      </c>
      <c r="H638" s="23"/>
      <c r="J638" s="22"/>
    </row>
    <row r="639">
      <c r="A639" s="19">
        <f>IFERROR(__xludf.DUMMYFUNCTION("""COMPUTED_VALUE"""),45199.0)</f>
        <v>45199</v>
      </c>
      <c r="B639" s="20">
        <f>IFERROR(__xludf.DUMMYFUNCTION("""COMPUTED_VALUE"""),0.7622176470588236)</f>
        <v>0.7622176471</v>
      </c>
      <c r="C639" s="21">
        <f>IFERROR(__xludf.DUMMYFUNCTION("""COMPUTED_VALUE"""),0.68475)</f>
        <v>0.68475</v>
      </c>
      <c r="D639" s="21">
        <f>IFERROR(__xludf.DUMMYFUNCTION("""COMPUTED_VALUE"""),0.874)</f>
        <v>0.874</v>
      </c>
      <c r="E639" s="20">
        <f>IFERROR(__xludf.DUMMYFUNCTION("""COMPUTED_VALUE"""),0.4153892857142857)</f>
        <v>0.4153892857</v>
      </c>
      <c r="F639" s="20">
        <f>IFERROR(__xludf.DUMMYFUNCTION("""COMPUTED_VALUE"""),0.5188617249999999)</f>
        <v>0.518861725</v>
      </c>
      <c r="G639" s="20">
        <f>IFERROR(__xludf.DUMMYFUNCTION("""COMPUTED_VALUE"""),0.396)</f>
        <v>0.396</v>
      </c>
      <c r="H639" s="23"/>
      <c r="J639" s="22"/>
    </row>
    <row r="640">
      <c r="A640" s="19">
        <f>IFERROR(__xludf.DUMMYFUNCTION("""COMPUTED_VALUE"""),45200.0)</f>
        <v>45200</v>
      </c>
      <c r="B640" s="20">
        <f>IFERROR(__xludf.DUMMYFUNCTION("""COMPUTED_VALUE"""),0.7622176470588236)</f>
        <v>0.7622176471</v>
      </c>
      <c r="C640" s="21">
        <f>IFERROR(__xludf.DUMMYFUNCTION("""COMPUTED_VALUE"""),0.68475)</f>
        <v>0.68475</v>
      </c>
      <c r="D640" s="21">
        <f>IFERROR(__xludf.DUMMYFUNCTION("""COMPUTED_VALUE"""),0.874)</f>
        <v>0.874</v>
      </c>
      <c r="E640" s="20">
        <f>IFERROR(__xludf.DUMMYFUNCTION("""COMPUTED_VALUE"""),0.4062178571428571)</f>
        <v>0.4062178571</v>
      </c>
      <c r="F640" s="20">
        <f>IFERROR(__xludf.DUMMYFUNCTION("""COMPUTED_VALUE"""),0.5184383107142857)</f>
        <v>0.5184383107</v>
      </c>
      <c r="G640" s="20">
        <f>IFERROR(__xludf.DUMMYFUNCTION("""COMPUTED_VALUE"""),0.467879)</f>
        <v>0.467879</v>
      </c>
      <c r="H640" s="23"/>
      <c r="J640" s="22"/>
    </row>
    <row r="641">
      <c r="A641" s="19">
        <f>IFERROR(__xludf.DUMMYFUNCTION("""COMPUTED_VALUE"""),45201.0)</f>
        <v>45201</v>
      </c>
      <c r="B641" s="20">
        <f>IFERROR(__xludf.DUMMYFUNCTION("""COMPUTED_VALUE"""),0.7622176470588236)</f>
        <v>0.7622176471</v>
      </c>
      <c r="C641" s="21">
        <f>IFERROR(__xludf.DUMMYFUNCTION("""COMPUTED_VALUE"""),0.68475)</f>
        <v>0.68475</v>
      </c>
      <c r="D641" s="21">
        <f>IFERROR(__xludf.DUMMYFUNCTION("""COMPUTED_VALUE"""),0.874)</f>
        <v>0.874</v>
      </c>
      <c r="E641" s="20">
        <f>IFERROR(__xludf.DUMMYFUNCTION("""COMPUTED_VALUE"""),0.40293142857142855)</f>
        <v>0.4029314286</v>
      </c>
      <c r="F641" s="20">
        <f>IFERROR(__xludf.DUMMYFUNCTION("""COMPUTED_VALUE"""),0.5129816928571428)</f>
        <v>0.5129816929</v>
      </c>
      <c r="G641" s="20">
        <f>IFERROR(__xludf.DUMMYFUNCTION("""COMPUTED_VALUE"""),0.467879)</f>
        <v>0.467879</v>
      </c>
      <c r="H641" s="23"/>
      <c r="J641" s="22"/>
    </row>
    <row r="642">
      <c r="A642" s="19">
        <f>IFERROR(__xludf.DUMMYFUNCTION("""COMPUTED_VALUE"""),45202.0)</f>
        <v>45202</v>
      </c>
      <c r="B642" s="20">
        <f>IFERROR(__xludf.DUMMYFUNCTION("""COMPUTED_VALUE"""),0.7622176470588236)</f>
        <v>0.7622176471</v>
      </c>
      <c r="C642" s="21">
        <f>IFERROR(__xludf.DUMMYFUNCTION("""COMPUTED_VALUE"""),0.68475)</f>
        <v>0.68475</v>
      </c>
      <c r="D642" s="21">
        <f>IFERROR(__xludf.DUMMYFUNCTION("""COMPUTED_VALUE"""),0.874)</f>
        <v>0.874</v>
      </c>
      <c r="E642" s="20">
        <f>IFERROR(__xludf.DUMMYFUNCTION("""COMPUTED_VALUE"""),0.39161999999999997)</f>
        <v>0.39162</v>
      </c>
      <c r="F642" s="20">
        <f>IFERROR(__xludf.DUMMYFUNCTION("""COMPUTED_VALUE"""),0.5089890642857142)</f>
        <v>0.5089890643</v>
      </c>
      <c r="G642" s="20">
        <f>IFERROR(__xludf.DUMMYFUNCTION("""COMPUTED_VALUE"""),0.467879)</f>
        <v>0.467879</v>
      </c>
      <c r="H642" s="23"/>
      <c r="J642" s="22"/>
    </row>
    <row r="643">
      <c r="A643" s="19">
        <f>IFERROR(__xludf.DUMMYFUNCTION("""COMPUTED_VALUE"""),45203.0)</f>
        <v>45203</v>
      </c>
      <c r="B643" s="20">
        <f>IFERROR(__xludf.DUMMYFUNCTION("""COMPUTED_VALUE"""),0.7622176470588236)</f>
        <v>0.7622176471</v>
      </c>
      <c r="C643" s="21">
        <f>IFERROR(__xludf.DUMMYFUNCTION("""COMPUTED_VALUE"""),0.68475)</f>
        <v>0.68475</v>
      </c>
      <c r="D643" s="21">
        <f>IFERROR(__xludf.DUMMYFUNCTION("""COMPUTED_VALUE"""),0.874)</f>
        <v>0.874</v>
      </c>
      <c r="E643" s="20">
        <f>IFERROR(__xludf.DUMMYFUNCTION("""COMPUTED_VALUE"""),0.38000285714285714)</f>
        <v>0.3800028571</v>
      </c>
      <c r="F643" s="20">
        <f>IFERROR(__xludf.DUMMYFUNCTION("""COMPUTED_VALUE"""),0.5075170499999999)</f>
        <v>0.50751705</v>
      </c>
      <c r="G643" s="20">
        <f>IFERROR(__xludf.DUMMYFUNCTION("""COMPUTED_VALUE"""),0.467879)</f>
        <v>0.467879</v>
      </c>
      <c r="H643" s="23"/>
      <c r="J643" s="22"/>
    </row>
    <row r="644">
      <c r="A644" s="19">
        <f>IFERROR(__xludf.DUMMYFUNCTION("""COMPUTED_VALUE"""),45204.0)</f>
        <v>45204</v>
      </c>
      <c r="B644" s="20">
        <f>IFERROR(__xludf.DUMMYFUNCTION("""COMPUTED_VALUE"""),0.7622176470588236)</f>
        <v>0.7622176471</v>
      </c>
      <c r="C644" s="21">
        <f>IFERROR(__xludf.DUMMYFUNCTION("""COMPUTED_VALUE"""),0.68475)</f>
        <v>0.68475</v>
      </c>
      <c r="D644" s="21">
        <f>IFERROR(__xludf.DUMMYFUNCTION("""COMPUTED_VALUE"""),0.874)</f>
        <v>0.874</v>
      </c>
      <c r="E644" s="20">
        <f>IFERROR(__xludf.DUMMYFUNCTION("""COMPUTED_VALUE"""),0.3726657142857142)</f>
        <v>0.3726657143</v>
      </c>
      <c r="F644" s="20">
        <f>IFERROR(__xludf.DUMMYFUNCTION("""COMPUTED_VALUE"""),0.5020550821428571)</f>
        <v>0.5020550821</v>
      </c>
      <c r="G644" s="20">
        <f>IFERROR(__xludf.DUMMYFUNCTION("""COMPUTED_VALUE"""),0.467879)</f>
        <v>0.467879</v>
      </c>
      <c r="H644" s="23"/>
      <c r="J644" s="22"/>
    </row>
    <row r="645">
      <c r="A645" s="19">
        <f>IFERROR(__xludf.DUMMYFUNCTION("""COMPUTED_VALUE"""),45205.0)</f>
        <v>45205</v>
      </c>
      <c r="B645" s="20">
        <f>IFERROR(__xludf.DUMMYFUNCTION("""COMPUTED_VALUE"""),0.7622176470588236)</f>
        <v>0.7622176471</v>
      </c>
      <c r="C645" s="21">
        <f>IFERROR(__xludf.DUMMYFUNCTION("""COMPUTED_VALUE"""),0.68475)</f>
        <v>0.68475</v>
      </c>
      <c r="D645" s="21">
        <f>IFERROR(__xludf.DUMMYFUNCTION("""COMPUTED_VALUE"""),0.874)</f>
        <v>0.874</v>
      </c>
      <c r="E645" s="20">
        <f>IFERROR(__xludf.DUMMYFUNCTION("""COMPUTED_VALUE"""),0.35852642857142847)</f>
        <v>0.3585264286</v>
      </c>
      <c r="F645" s="20">
        <f>IFERROR(__xludf.DUMMYFUNCTION("""COMPUTED_VALUE"""),0.4987067464285714)</f>
        <v>0.4987067464</v>
      </c>
      <c r="G645" s="20">
        <f>IFERROR(__xludf.DUMMYFUNCTION("""COMPUTED_VALUE"""),0.467879)</f>
        <v>0.467879</v>
      </c>
      <c r="H645" s="23"/>
      <c r="J645" s="22"/>
    </row>
    <row r="646">
      <c r="A646" s="19">
        <f>IFERROR(__xludf.DUMMYFUNCTION("""COMPUTED_VALUE"""),45206.0)</f>
        <v>45206</v>
      </c>
      <c r="B646" s="20">
        <f>IFERROR(__xludf.DUMMYFUNCTION("""COMPUTED_VALUE"""),0.7622176470588236)</f>
        <v>0.7622176471</v>
      </c>
      <c r="C646" s="21">
        <f>IFERROR(__xludf.DUMMYFUNCTION("""COMPUTED_VALUE"""),0.68475)</f>
        <v>0.68475</v>
      </c>
      <c r="D646" s="21">
        <f>IFERROR(__xludf.DUMMYFUNCTION("""COMPUTED_VALUE"""),0.874)</f>
        <v>0.874</v>
      </c>
      <c r="E646" s="20">
        <f>IFERROR(__xludf.DUMMYFUNCTION("""COMPUTED_VALUE"""),0.35478142857142847)</f>
        <v>0.3547814286</v>
      </c>
      <c r="F646" s="20">
        <f>IFERROR(__xludf.DUMMYFUNCTION("""COMPUTED_VALUE"""),0.4953584107142857)</f>
        <v>0.4953584107</v>
      </c>
      <c r="G646" s="20">
        <f>IFERROR(__xludf.DUMMYFUNCTION("""COMPUTED_VALUE"""),0.467879)</f>
        <v>0.467879</v>
      </c>
      <c r="H646" s="23"/>
      <c r="J646" s="22"/>
    </row>
    <row r="647">
      <c r="A647" s="19">
        <f>IFERROR(__xludf.DUMMYFUNCTION("""COMPUTED_VALUE"""),45207.0)</f>
        <v>45207</v>
      </c>
      <c r="B647" s="20">
        <f>IFERROR(__xludf.DUMMYFUNCTION("""COMPUTED_VALUE"""),0.7622176470588236)</f>
        <v>0.7622176471</v>
      </c>
      <c r="C647" s="21">
        <f>IFERROR(__xludf.DUMMYFUNCTION("""COMPUTED_VALUE"""),0.68475)</f>
        <v>0.68475</v>
      </c>
      <c r="D647" s="21">
        <f>IFERROR(__xludf.DUMMYFUNCTION("""COMPUTED_VALUE"""),0.874)</f>
        <v>0.874</v>
      </c>
      <c r="E647" s="20">
        <f>IFERROR(__xludf.DUMMYFUNCTION("""COMPUTED_VALUE"""),0.3510364285714286)</f>
        <v>0.3510364286</v>
      </c>
      <c r="F647" s="20">
        <f>IFERROR(__xludf.DUMMYFUNCTION("""COMPUTED_VALUE"""),0.49201007500000005)</f>
        <v>0.492010075</v>
      </c>
      <c r="G647" s="20">
        <f>IFERROR(__xludf.DUMMYFUNCTION("""COMPUTED_VALUE"""),0.467879)</f>
        <v>0.467879</v>
      </c>
      <c r="H647" s="23"/>
      <c r="J647" s="22"/>
    </row>
    <row r="648">
      <c r="A648" s="19">
        <f>IFERROR(__xludf.DUMMYFUNCTION("""COMPUTED_VALUE"""),45208.0)</f>
        <v>45208</v>
      </c>
      <c r="B648" s="20">
        <f>IFERROR(__xludf.DUMMYFUNCTION("""COMPUTED_VALUE"""),0.7340111111111111)</f>
        <v>0.7340111111</v>
      </c>
      <c r="C648" s="21">
        <f>IFERROR(__xludf.DUMMYFUNCTION("""COMPUTED_VALUE"""),0.655)</f>
        <v>0.655</v>
      </c>
      <c r="D648" s="21">
        <f>IFERROR(__xludf.DUMMYFUNCTION("""COMPUTED_VALUE"""),0.835)</f>
        <v>0.835</v>
      </c>
      <c r="E648" s="20">
        <f>IFERROR(__xludf.DUMMYFUNCTION("""COMPUTED_VALUE"""),0.34232357142857145)</f>
        <v>0.3423235714</v>
      </c>
      <c r="F648" s="20">
        <f>IFERROR(__xludf.DUMMYFUNCTION("""COMPUTED_VALUE"""),0.4956652714285714)</f>
        <v>0.4956652714</v>
      </c>
      <c r="G648" s="20">
        <f>IFERROR(__xludf.DUMMYFUNCTION("""COMPUTED_VALUE"""),0.467879)</f>
        <v>0.467879</v>
      </c>
      <c r="H648" s="23"/>
      <c r="J648" s="22"/>
    </row>
    <row r="649">
      <c r="A649" s="19">
        <f>IFERROR(__xludf.DUMMYFUNCTION("""COMPUTED_VALUE"""),45209.0)</f>
        <v>45209</v>
      </c>
      <c r="B649" s="20">
        <f>IFERROR(__xludf.DUMMYFUNCTION("""COMPUTED_VALUE"""),0.7340111111111111)</f>
        <v>0.7340111111</v>
      </c>
      <c r="C649" s="21">
        <f>IFERROR(__xludf.DUMMYFUNCTION("""COMPUTED_VALUE"""),0.655)</f>
        <v>0.655</v>
      </c>
      <c r="D649" s="21">
        <f>IFERROR(__xludf.DUMMYFUNCTION("""COMPUTED_VALUE"""),0.835)</f>
        <v>0.835</v>
      </c>
      <c r="E649" s="20">
        <f>IFERROR(__xludf.DUMMYFUNCTION("""COMPUTED_VALUE"""),0.3531764285714285)</f>
        <v>0.3531764286</v>
      </c>
      <c r="F649" s="20">
        <f>IFERROR(__xludf.DUMMYFUNCTION("""COMPUTED_VALUE"""),0.5082511464285714)</f>
        <v>0.5082511464</v>
      </c>
      <c r="G649" s="20">
        <f>IFERROR(__xludf.DUMMYFUNCTION("""COMPUTED_VALUE"""),0.467879)</f>
        <v>0.467879</v>
      </c>
      <c r="H649" s="23"/>
      <c r="J649" s="22"/>
    </row>
    <row r="650">
      <c r="A650" s="19">
        <f>IFERROR(__xludf.DUMMYFUNCTION("""COMPUTED_VALUE"""),45210.0)</f>
        <v>45210</v>
      </c>
      <c r="B650" s="20">
        <f>IFERROR(__xludf.DUMMYFUNCTION("""COMPUTED_VALUE"""),0.7340111111111111)</f>
        <v>0.7340111111</v>
      </c>
      <c r="C650" s="21">
        <f>IFERROR(__xludf.DUMMYFUNCTION("""COMPUTED_VALUE"""),0.655)</f>
        <v>0.655</v>
      </c>
      <c r="D650" s="21">
        <f>IFERROR(__xludf.DUMMYFUNCTION("""COMPUTED_VALUE"""),0.835)</f>
        <v>0.835</v>
      </c>
      <c r="E650" s="20">
        <f>IFERROR(__xludf.DUMMYFUNCTION("""COMPUTED_VALUE"""),0.37381214285714276)</f>
        <v>0.3738121429</v>
      </c>
      <c r="F650" s="20">
        <f>IFERROR(__xludf.DUMMYFUNCTION("""COMPUTED_VALUE"""),0.5162983107142857)</f>
        <v>0.5162983107</v>
      </c>
      <c r="G650" s="20">
        <f>IFERROR(__xludf.DUMMYFUNCTION("""COMPUTED_VALUE"""),0.467879)</f>
        <v>0.467879</v>
      </c>
      <c r="H650" s="23"/>
      <c r="J650" s="22"/>
    </row>
    <row r="651">
      <c r="A651" s="19">
        <f>IFERROR(__xludf.DUMMYFUNCTION("""COMPUTED_VALUE"""),45211.0)</f>
        <v>45211</v>
      </c>
      <c r="B651" s="20">
        <f>IFERROR(__xludf.DUMMYFUNCTION("""COMPUTED_VALUE"""),0.7340111111111111)</f>
        <v>0.7340111111</v>
      </c>
      <c r="C651" s="21">
        <f>IFERROR(__xludf.DUMMYFUNCTION("""COMPUTED_VALUE"""),0.655)</f>
        <v>0.655</v>
      </c>
      <c r="D651" s="21">
        <f>IFERROR(__xludf.DUMMYFUNCTION("""COMPUTED_VALUE"""),0.835)</f>
        <v>0.835</v>
      </c>
      <c r="E651" s="20">
        <f>IFERROR(__xludf.DUMMYFUNCTION("""COMPUTED_VALUE"""),0.3945242857142857)</f>
        <v>0.3945242857</v>
      </c>
      <c r="F651" s="20">
        <f>IFERROR(__xludf.DUMMYFUNCTION("""COMPUTED_VALUE"""),0.5331832928571428)</f>
        <v>0.5331832929</v>
      </c>
      <c r="G651" s="20">
        <f>IFERROR(__xludf.DUMMYFUNCTION("""COMPUTED_VALUE"""),0.467879)</f>
        <v>0.467879</v>
      </c>
      <c r="H651" s="23"/>
      <c r="J651" s="22"/>
    </row>
    <row r="652">
      <c r="A652" s="24">
        <f>IFERROR(__xludf.DUMMYFUNCTION("""COMPUTED_VALUE"""),45212.0)</f>
        <v>45212</v>
      </c>
      <c r="B652" s="20">
        <f>IFERROR(__xludf.DUMMYFUNCTION("""COMPUTED_VALUE"""),0.7340111111111111)</f>
        <v>0.7340111111</v>
      </c>
      <c r="C652" s="21">
        <f>IFERROR(__xludf.DUMMYFUNCTION("""COMPUTED_VALUE"""),0.655)</f>
        <v>0.655</v>
      </c>
      <c r="D652" s="21">
        <f>IFERROR(__xludf.DUMMYFUNCTION("""COMPUTED_VALUE"""),0.835)</f>
        <v>0.835</v>
      </c>
      <c r="E652" s="20">
        <f>IFERROR(__xludf.DUMMYFUNCTION("""COMPUTED_VALUE"""),0.42180928571428566)</f>
        <v>0.4218092857</v>
      </c>
      <c r="F652" s="20">
        <f>IFERROR(__xludf.DUMMYFUNCTION("""COMPUTED_VALUE"""),0.5501091642857142)</f>
        <v>0.5501091643</v>
      </c>
      <c r="G652" s="20">
        <f>IFERROR(__xludf.DUMMYFUNCTION("""COMPUTED_VALUE"""),0.467879)</f>
        <v>0.467879</v>
      </c>
      <c r="H652" s="23"/>
      <c r="J652" s="22"/>
    </row>
    <row r="653">
      <c r="A653" s="24">
        <f>IFERROR(__xludf.DUMMYFUNCTION("""COMPUTED_VALUE"""),45213.0)</f>
        <v>45213</v>
      </c>
      <c r="B653" s="20">
        <f>IFERROR(__xludf.DUMMYFUNCTION("""COMPUTED_VALUE"""),0.7340111111111111)</f>
        <v>0.7340111111</v>
      </c>
      <c r="C653" s="21">
        <f>IFERROR(__xludf.DUMMYFUNCTION("""COMPUTED_VALUE"""),0.655)</f>
        <v>0.655</v>
      </c>
      <c r="D653" s="21">
        <f>IFERROR(__xludf.DUMMYFUNCTION("""COMPUTED_VALUE"""),0.835)</f>
        <v>0.835</v>
      </c>
      <c r="E653" s="20">
        <f>IFERROR(__xludf.DUMMYFUNCTION("""COMPUTED_VALUE"""),0.4532214285714286)</f>
        <v>0.4532214286</v>
      </c>
      <c r="F653" s="20">
        <f>IFERROR(__xludf.DUMMYFUNCTION("""COMPUTED_VALUE"""),0.5670350357142857)</f>
        <v>0.5670350357</v>
      </c>
      <c r="G653" s="20">
        <f>IFERROR(__xludf.DUMMYFUNCTION("""COMPUTED_VALUE"""),0.467879)</f>
        <v>0.467879</v>
      </c>
      <c r="H653" s="23"/>
      <c r="J653" s="22"/>
    </row>
    <row r="654">
      <c r="A654" s="24">
        <f>IFERROR(__xludf.DUMMYFUNCTION("""COMPUTED_VALUE"""),45214.0)</f>
        <v>45214</v>
      </c>
      <c r="B654" s="20">
        <f>IFERROR(__xludf.DUMMYFUNCTION("""COMPUTED_VALUE"""),0.7340111111111111)</f>
        <v>0.7340111111</v>
      </c>
      <c r="C654" s="21">
        <f>IFERROR(__xludf.DUMMYFUNCTION("""COMPUTED_VALUE"""),0.655)</f>
        <v>0.655</v>
      </c>
      <c r="D654" s="21">
        <f>IFERROR(__xludf.DUMMYFUNCTION("""COMPUTED_VALUE"""),0.835)</f>
        <v>0.835</v>
      </c>
      <c r="E654" s="20">
        <f>IFERROR(__xludf.DUMMYFUNCTION("""COMPUTED_VALUE"""),0.4846335714285714)</f>
        <v>0.4846335714</v>
      </c>
      <c r="F654" s="20">
        <f>IFERROR(__xludf.DUMMYFUNCTION("""COMPUTED_VALUE"""),0.5839609071428571)</f>
        <v>0.5839609071</v>
      </c>
      <c r="G654" s="20">
        <f>IFERROR(__xludf.DUMMYFUNCTION("""COMPUTED_VALUE"""),0.467879)</f>
        <v>0.467879</v>
      </c>
      <c r="H654" s="23"/>
      <c r="J654" s="22"/>
    </row>
    <row r="655">
      <c r="A655" s="24">
        <f>IFERROR(__xludf.DUMMYFUNCTION("""COMPUTED_VALUE"""),45215.0)</f>
        <v>45215</v>
      </c>
      <c r="B655" s="20">
        <f>IFERROR(__xludf.DUMMYFUNCTION("""COMPUTED_VALUE"""),0.7340111111111111)</f>
        <v>0.7340111111</v>
      </c>
      <c r="C655" s="21">
        <f>IFERROR(__xludf.DUMMYFUNCTION("""COMPUTED_VALUE"""),0.655)</f>
        <v>0.655</v>
      </c>
      <c r="D655" s="21">
        <f>IFERROR(__xludf.DUMMYFUNCTION("""COMPUTED_VALUE"""),0.835)</f>
        <v>0.835</v>
      </c>
      <c r="E655" s="20">
        <f>IFERROR(__xludf.DUMMYFUNCTION("""COMPUTED_VALUE"""),0.5178035714285715)</f>
        <v>0.5178035714</v>
      </c>
      <c r="F655" s="20">
        <f>IFERROR(__xludf.DUMMYFUNCTION("""COMPUTED_VALUE"""),0.5912388178571428)</f>
        <v>0.5912388179</v>
      </c>
      <c r="G655" s="20">
        <f>IFERROR(__xludf.DUMMYFUNCTION("""COMPUTED_VALUE"""),0.467879)</f>
        <v>0.467879</v>
      </c>
      <c r="H655" s="23"/>
      <c r="J655" s="22"/>
    </row>
    <row r="656">
      <c r="A656" s="24">
        <f>IFERROR(__xludf.DUMMYFUNCTION("""COMPUTED_VALUE"""),45216.0)</f>
        <v>45216</v>
      </c>
      <c r="B656" s="20">
        <f>IFERROR(__xludf.DUMMYFUNCTION("""COMPUTED_VALUE"""),0.7340111111111111)</f>
        <v>0.7340111111</v>
      </c>
      <c r="C656" s="21">
        <f>IFERROR(__xludf.DUMMYFUNCTION("""COMPUTED_VALUE"""),0.655)</f>
        <v>0.655</v>
      </c>
      <c r="D656" s="21">
        <f>IFERROR(__xludf.DUMMYFUNCTION("""COMPUTED_VALUE"""),0.835)</f>
        <v>0.835</v>
      </c>
      <c r="E656" s="20">
        <f>IFERROR(__xludf.DUMMYFUNCTION("""COMPUTED_VALUE"""),0.5266692857142856)</f>
        <v>0.5266692857</v>
      </c>
      <c r="F656" s="20">
        <f>IFERROR(__xludf.DUMMYFUNCTION("""COMPUTED_VALUE"""),0.5933390749999999)</f>
        <v>0.593339075</v>
      </c>
      <c r="G656" s="20">
        <f>IFERROR(__xludf.DUMMYFUNCTION("""COMPUTED_VALUE"""),0.467879)</f>
        <v>0.467879</v>
      </c>
      <c r="H656" s="23"/>
      <c r="J656" s="22"/>
    </row>
    <row r="657">
      <c r="A657" s="24">
        <f>IFERROR(__xludf.DUMMYFUNCTION("""COMPUTED_VALUE"""),45217.0)</f>
        <v>45217</v>
      </c>
      <c r="B657" s="20">
        <f>IFERROR(__xludf.DUMMYFUNCTION("""COMPUTED_VALUE"""),0.7340111111111111)</f>
        <v>0.7340111111</v>
      </c>
      <c r="C657" s="21">
        <f>IFERROR(__xludf.DUMMYFUNCTION("""COMPUTED_VALUE"""),0.655)</f>
        <v>0.655</v>
      </c>
      <c r="D657" s="21">
        <f>IFERROR(__xludf.DUMMYFUNCTION("""COMPUTED_VALUE"""),0.835)</f>
        <v>0.835</v>
      </c>
      <c r="E657" s="20">
        <f>IFERROR(__xludf.DUMMYFUNCTION("""COMPUTED_VALUE"""),0.5266692857142856)</f>
        <v>0.5266692857</v>
      </c>
      <c r="F657" s="20">
        <f>IFERROR(__xludf.DUMMYFUNCTION("""COMPUTED_VALUE"""),0.6011042178571427)</f>
        <v>0.6011042179</v>
      </c>
      <c r="G657" s="20">
        <f>IFERROR(__xludf.DUMMYFUNCTION("""COMPUTED_VALUE"""),0.467879)</f>
        <v>0.467879</v>
      </c>
      <c r="H657" s="23"/>
      <c r="J657" s="22"/>
    </row>
    <row r="658">
      <c r="A658" s="24">
        <f>IFERROR(__xludf.DUMMYFUNCTION("""COMPUTED_VALUE"""),45218.0)</f>
        <v>45218</v>
      </c>
      <c r="B658" s="20">
        <f>IFERROR(__xludf.DUMMYFUNCTION("""COMPUTED_VALUE"""),0.7340111111111111)</f>
        <v>0.7340111111</v>
      </c>
      <c r="C658" s="21">
        <f>IFERROR(__xludf.DUMMYFUNCTION("""COMPUTED_VALUE"""),0.655)</f>
        <v>0.655</v>
      </c>
      <c r="D658" s="21">
        <f>IFERROR(__xludf.DUMMYFUNCTION("""COMPUTED_VALUE"""),0.835)</f>
        <v>0.835</v>
      </c>
      <c r="E658" s="20">
        <f>IFERROR(__xludf.DUMMYFUNCTION("""COMPUTED_VALUE"""),0.5241471428571428)</f>
        <v>0.5241471429</v>
      </c>
      <c r="F658" s="20">
        <f>IFERROR(__xludf.DUMMYFUNCTION("""COMPUTED_VALUE"""),0.60228695)</f>
        <v>0.60228695</v>
      </c>
      <c r="G658" s="20">
        <f>IFERROR(__xludf.DUMMYFUNCTION("""COMPUTED_VALUE"""),0.467879)</f>
        <v>0.467879</v>
      </c>
      <c r="H658" s="23"/>
      <c r="J658" s="22"/>
    </row>
    <row r="659">
      <c r="A659" s="24">
        <f>IFERROR(__xludf.DUMMYFUNCTION("""COMPUTED_VALUE"""),45219.0)</f>
        <v>45219</v>
      </c>
      <c r="B659" s="20">
        <f>IFERROR(__xludf.DUMMYFUNCTION("""COMPUTED_VALUE"""),0.7340111111111111)</f>
        <v>0.7340111111</v>
      </c>
      <c r="C659" s="21">
        <f>IFERROR(__xludf.DUMMYFUNCTION("""COMPUTED_VALUE"""),0.655)</f>
        <v>0.655</v>
      </c>
      <c r="D659" s="21">
        <f>IFERROR(__xludf.DUMMYFUNCTION("""COMPUTED_VALUE"""),0.835)</f>
        <v>0.835</v>
      </c>
      <c r="E659" s="20">
        <f>IFERROR(__xludf.DUMMYFUNCTION("""COMPUTED_VALUE"""),0.5180328571428572)</f>
        <v>0.5180328571</v>
      </c>
      <c r="F659" s="20">
        <f>IFERROR(__xludf.DUMMYFUNCTION("""COMPUTED_VALUE"""),0.6025254071428572)</f>
        <v>0.6025254071</v>
      </c>
      <c r="G659" s="20">
        <f>IFERROR(__xludf.DUMMYFUNCTION("""COMPUTED_VALUE"""),0.467879)</f>
        <v>0.467879</v>
      </c>
      <c r="H659" s="23"/>
      <c r="J659" s="22"/>
    </row>
    <row r="660">
      <c r="A660" s="24">
        <f>IFERROR(__xludf.DUMMYFUNCTION("""COMPUTED_VALUE"""),45220.0)</f>
        <v>45220</v>
      </c>
      <c r="B660" s="20">
        <f>IFERROR(__xludf.DUMMYFUNCTION("""COMPUTED_VALUE"""),0.7340111111111111)</f>
        <v>0.7340111111</v>
      </c>
      <c r="C660" s="21">
        <f>IFERROR(__xludf.DUMMYFUNCTION("""COMPUTED_VALUE"""),0.655)</f>
        <v>0.655</v>
      </c>
      <c r="D660" s="21">
        <f>IFERROR(__xludf.DUMMYFUNCTION("""COMPUTED_VALUE"""),0.835)</f>
        <v>0.835</v>
      </c>
      <c r="E660" s="20">
        <f>IFERROR(__xludf.DUMMYFUNCTION("""COMPUTED_VALUE"""),0.5106957142857144)</f>
        <v>0.5106957143</v>
      </c>
      <c r="F660" s="20">
        <f>IFERROR(__xludf.DUMMYFUNCTION("""COMPUTED_VALUE"""),0.6027638642857144)</f>
        <v>0.6027638643</v>
      </c>
      <c r="G660" s="20">
        <f>IFERROR(__xludf.DUMMYFUNCTION("""COMPUTED_VALUE"""),0.467879)</f>
        <v>0.467879</v>
      </c>
      <c r="H660" s="23"/>
      <c r="J660" s="22"/>
    </row>
    <row r="661">
      <c r="A661" s="24">
        <f>IFERROR(__xludf.DUMMYFUNCTION("""COMPUTED_VALUE"""),45221.0)</f>
        <v>45221</v>
      </c>
      <c r="B661" s="20">
        <f>IFERROR(__xludf.DUMMYFUNCTION("""COMPUTED_VALUE"""),0.7340111111111111)</f>
        <v>0.7340111111</v>
      </c>
      <c r="C661" s="21">
        <f>IFERROR(__xludf.DUMMYFUNCTION("""COMPUTED_VALUE"""),0.655)</f>
        <v>0.655</v>
      </c>
      <c r="D661" s="21">
        <f>IFERROR(__xludf.DUMMYFUNCTION("""COMPUTED_VALUE"""),0.835)</f>
        <v>0.835</v>
      </c>
      <c r="E661" s="20">
        <f>IFERROR(__xludf.DUMMYFUNCTION("""COMPUTED_VALUE"""),0.5033585714285714)</f>
        <v>0.5033585714</v>
      </c>
      <c r="F661" s="20">
        <f>IFERROR(__xludf.DUMMYFUNCTION("""COMPUTED_VALUE"""),0.6030023214285715)</f>
        <v>0.6030023214</v>
      </c>
      <c r="G661" s="20">
        <f>IFERROR(__xludf.DUMMYFUNCTION("""COMPUTED_VALUE"""),0.467879)</f>
        <v>0.467879</v>
      </c>
      <c r="H661" s="23"/>
      <c r="J661" s="22"/>
    </row>
    <row r="662">
      <c r="A662" s="24">
        <f>IFERROR(__xludf.DUMMYFUNCTION("""COMPUTED_VALUE"""),45222.0)</f>
        <v>45222</v>
      </c>
      <c r="B662" s="20">
        <f>IFERROR(__xludf.DUMMYFUNCTION("""COMPUTED_VALUE"""),0.7397333333333331)</f>
        <v>0.7397333333</v>
      </c>
      <c r="C662" s="21">
        <f>IFERROR(__xludf.DUMMYFUNCTION("""COMPUTED_VALUE"""),0.6625000000000001)</f>
        <v>0.6625</v>
      </c>
      <c r="D662" s="21">
        <f>IFERROR(__xludf.DUMMYFUNCTION("""COMPUTED_VALUE"""),0.835)</f>
        <v>0.835</v>
      </c>
      <c r="E662" s="20">
        <f>IFERROR(__xludf.DUMMYFUNCTION("""COMPUTED_VALUE"""),0.494875)</f>
        <v>0.494875</v>
      </c>
      <c r="F662" s="20">
        <f>IFERROR(__xludf.DUMMYFUNCTION("""COMPUTED_VALUE"""),0.6081547535714286)</f>
        <v>0.6081547536</v>
      </c>
      <c r="G662" s="20">
        <f>IFERROR(__xludf.DUMMYFUNCTION("""COMPUTED_VALUE"""),0.467879)</f>
        <v>0.467879</v>
      </c>
      <c r="H662" s="23"/>
      <c r="J662" s="22"/>
    </row>
    <row r="663">
      <c r="A663" s="24">
        <f>IFERROR(__xludf.DUMMYFUNCTION("""COMPUTED_VALUE"""),45223.0)</f>
        <v>45223</v>
      </c>
      <c r="B663" s="20">
        <f>IFERROR(__xludf.DUMMYFUNCTION("""COMPUTED_VALUE"""),0.7397333333333331)</f>
        <v>0.7397333333</v>
      </c>
      <c r="C663" s="21">
        <f>IFERROR(__xludf.DUMMYFUNCTION("""COMPUTED_VALUE"""),0.6625000000000001)</f>
        <v>0.6625</v>
      </c>
      <c r="D663" s="21">
        <f>IFERROR(__xludf.DUMMYFUNCTION("""COMPUTED_VALUE"""),0.835)</f>
        <v>0.835</v>
      </c>
      <c r="E663" s="20">
        <f>IFERROR(__xludf.DUMMYFUNCTION("""COMPUTED_VALUE"""),0.4936521428571428)</f>
        <v>0.4936521429</v>
      </c>
      <c r="F663" s="20">
        <f>IFERROR(__xludf.DUMMYFUNCTION("""COMPUTED_VALUE"""),0.608838407142857)</f>
        <v>0.6088384071</v>
      </c>
      <c r="G663" s="20">
        <f>IFERROR(__xludf.DUMMYFUNCTION("""COMPUTED_VALUE"""),0.467879)</f>
        <v>0.467879</v>
      </c>
      <c r="H663" s="23"/>
      <c r="J663" s="22"/>
    </row>
    <row r="664">
      <c r="A664" s="24">
        <f>IFERROR(__xludf.DUMMYFUNCTION("""COMPUTED_VALUE"""),45224.0)</f>
        <v>45224</v>
      </c>
      <c r="B664" s="20">
        <f>IFERROR(__xludf.DUMMYFUNCTION("""COMPUTED_VALUE"""),0.7397333333333331)</f>
        <v>0.7397333333</v>
      </c>
      <c r="C664" s="21">
        <f>IFERROR(__xludf.DUMMYFUNCTION("""COMPUTED_VALUE"""),0.6625000000000001)</f>
        <v>0.6625</v>
      </c>
      <c r="D664" s="21">
        <f>IFERROR(__xludf.DUMMYFUNCTION("""COMPUTED_VALUE"""),0.835)</f>
        <v>0.835</v>
      </c>
      <c r="E664" s="20">
        <f>IFERROR(__xludf.DUMMYFUNCTION("""COMPUTED_VALUE"""),0.4976264285714285)</f>
        <v>0.4976264286</v>
      </c>
      <c r="F664" s="20">
        <f>IFERROR(__xludf.DUMMYFUNCTION("""COMPUTED_VALUE"""),0.605226775)</f>
        <v>0.605226775</v>
      </c>
      <c r="G664" s="20">
        <f>IFERROR(__xludf.DUMMYFUNCTION("""COMPUTED_VALUE"""),0.467879)</f>
        <v>0.467879</v>
      </c>
      <c r="H664" s="23"/>
      <c r="J664" s="22"/>
    </row>
    <row r="665">
      <c r="A665" s="24">
        <f>IFERROR(__xludf.DUMMYFUNCTION("""COMPUTED_VALUE"""),45225.0)</f>
        <v>45225</v>
      </c>
      <c r="B665" s="20">
        <f>IFERROR(__xludf.DUMMYFUNCTION("""COMPUTED_VALUE"""),0.7397333333333331)</f>
        <v>0.7397333333</v>
      </c>
      <c r="C665" s="21">
        <f>IFERROR(__xludf.DUMMYFUNCTION("""COMPUTED_VALUE"""),0.6625000000000001)</f>
        <v>0.6625</v>
      </c>
      <c r="D665" s="21">
        <f>IFERROR(__xludf.DUMMYFUNCTION("""COMPUTED_VALUE"""),0.835)</f>
        <v>0.835</v>
      </c>
      <c r="E665" s="20">
        <f>IFERROR(__xludf.DUMMYFUNCTION("""COMPUTED_VALUE"""),0.5012185714285714)</f>
        <v>0.5012185714</v>
      </c>
      <c r="F665" s="20">
        <f>IFERROR(__xludf.DUMMYFUNCTION("""COMPUTED_VALUE"""),0.6018199714285715)</f>
        <v>0.6018199714</v>
      </c>
      <c r="G665" s="20">
        <f>IFERROR(__xludf.DUMMYFUNCTION("""COMPUTED_VALUE"""),0.467879)</f>
        <v>0.467879</v>
      </c>
      <c r="H665" s="23"/>
      <c r="J665" s="22"/>
    </row>
    <row r="666">
      <c r="A666" s="24">
        <f>IFERROR(__xludf.DUMMYFUNCTION("""COMPUTED_VALUE"""),45226.0)</f>
        <v>45226</v>
      </c>
      <c r="B666" s="20">
        <f>IFERROR(__xludf.DUMMYFUNCTION("""COMPUTED_VALUE"""),0.7397333333333331)</f>
        <v>0.7397333333</v>
      </c>
      <c r="C666" s="21">
        <f>IFERROR(__xludf.DUMMYFUNCTION("""COMPUTED_VALUE"""),0.6625000000000001)</f>
        <v>0.6625</v>
      </c>
      <c r="D666" s="21">
        <f>IFERROR(__xludf.DUMMYFUNCTION("""COMPUTED_VALUE"""),0.835)</f>
        <v>0.835</v>
      </c>
      <c r="E666" s="20">
        <f>IFERROR(__xludf.DUMMYFUNCTION("""COMPUTED_VALUE"""),0.50397)</f>
        <v>0.50397</v>
      </c>
      <c r="F666" s="20">
        <f>IFERROR(__xludf.DUMMYFUNCTION("""COMPUTED_VALUE"""),0.5974004892857143)</f>
        <v>0.5974004893</v>
      </c>
      <c r="G666" s="20">
        <f>IFERROR(__xludf.DUMMYFUNCTION("""COMPUTED_VALUE"""),0.467879)</f>
        <v>0.467879</v>
      </c>
      <c r="H666" s="23"/>
      <c r="J666" s="22"/>
    </row>
    <row r="667">
      <c r="A667" s="24">
        <f>IFERROR(__xludf.DUMMYFUNCTION("""COMPUTED_VALUE"""),45227.0)</f>
        <v>45227</v>
      </c>
      <c r="B667" s="20">
        <f>IFERROR(__xludf.DUMMYFUNCTION("""COMPUTED_VALUE"""),0.7397333333333331)</f>
        <v>0.7397333333</v>
      </c>
      <c r="C667" s="21">
        <f>IFERROR(__xludf.DUMMYFUNCTION("""COMPUTED_VALUE"""),0.6625000000000001)</f>
        <v>0.6625</v>
      </c>
      <c r="D667" s="21">
        <f>IFERROR(__xludf.DUMMYFUNCTION("""COMPUTED_VALUE"""),0.835)</f>
        <v>0.835</v>
      </c>
      <c r="E667" s="20">
        <f>IFERROR(__xludf.DUMMYFUNCTION("""COMPUTED_VALUE"""),0.5047342857142857)</f>
        <v>0.5047342857</v>
      </c>
      <c r="F667" s="20">
        <f>IFERROR(__xludf.DUMMYFUNCTION("""COMPUTED_VALUE"""),0.5929810071428571)</f>
        <v>0.5929810071</v>
      </c>
      <c r="G667" s="20">
        <f>IFERROR(__xludf.DUMMYFUNCTION("""COMPUTED_VALUE"""),0.467879)</f>
        <v>0.467879</v>
      </c>
      <c r="H667" s="23"/>
      <c r="J667" s="22"/>
    </row>
    <row r="668">
      <c r="A668" s="24">
        <f>IFERROR(__xludf.DUMMYFUNCTION("""COMPUTED_VALUE"""),45228.0)</f>
        <v>45228</v>
      </c>
      <c r="B668" s="20">
        <f>IFERROR(__xludf.DUMMYFUNCTION("""COMPUTED_VALUE"""),0.7397333333333331)</f>
        <v>0.7397333333</v>
      </c>
      <c r="C668" s="21">
        <f>IFERROR(__xludf.DUMMYFUNCTION("""COMPUTED_VALUE"""),0.6625000000000001)</f>
        <v>0.6625</v>
      </c>
      <c r="D668" s="21">
        <f>IFERROR(__xludf.DUMMYFUNCTION("""COMPUTED_VALUE"""),0.835)</f>
        <v>0.835</v>
      </c>
      <c r="E668" s="20">
        <f>IFERROR(__xludf.DUMMYFUNCTION("""COMPUTED_VALUE"""),0.5054985714285715)</f>
        <v>0.5054985714</v>
      </c>
      <c r="F668" s="20">
        <f>IFERROR(__xludf.DUMMYFUNCTION("""COMPUTED_VALUE"""),0.5885615249999999)</f>
        <v>0.588561525</v>
      </c>
      <c r="G668" s="20">
        <f>IFERROR(__xludf.DUMMYFUNCTION("""COMPUTED_VALUE"""),0.467879)</f>
        <v>0.467879</v>
      </c>
      <c r="H668" s="23"/>
      <c r="J668" s="22"/>
    </row>
    <row r="669">
      <c r="A669" s="24">
        <f>IFERROR(__xludf.DUMMYFUNCTION("""COMPUTED_VALUE"""),45229.0)</f>
        <v>45229</v>
      </c>
      <c r="B669" s="20">
        <f>IFERROR(__xludf.DUMMYFUNCTION("""COMPUTED_VALUE"""),0.7397333333333331)</f>
        <v>0.7397333333</v>
      </c>
      <c r="C669" s="21">
        <f>IFERROR(__xludf.DUMMYFUNCTION("""COMPUTED_VALUE"""),0.6625000000000001)</f>
        <v>0.6625</v>
      </c>
      <c r="D669" s="21">
        <f>IFERROR(__xludf.DUMMYFUNCTION("""COMPUTED_VALUE"""),0.835)</f>
        <v>0.835</v>
      </c>
      <c r="E669" s="20">
        <f>IFERROR(__xludf.DUMMYFUNCTION("""COMPUTED_VALUE"""),0.5058807142857142)</f>
        <v>0.5058807143</v>
      </c>
      <c r="F669" s="20">
        <f>IFERROR(__xludf.DUMMYFUNCTION("""COMPUTED_VALUE"""),0.5841550357142857)</f>
        <v>0.5841550357</v>
      </c>
      <c r="G669" s="20">
        <f>IFERROR(__xludf.DUMMYFUNCTION("""COMPUTED_VALUE"""),0.467879)</f>
        <v>0.467879</v>
      </c>
      <c r="H669" s="23"/>
      <c r="J669" s="22"/>
    </row>
    <row r="670">
      <c r="A670" s="24">
        <f>IFERROR(__xludf.DUMMYFUNCTION("""COMPUTED_VALUE"""),45230.0)</f>
        <v>45230</v>
      </c>
      <c r="B670" s="20">
        <f>IFERROR(__xludf.DUMMYFUNCTION("""COMPUTED_VALUE"""),0.7397333333333331)</f>
        <v>0.7397333333</v>
      </c>
      <c r="C670" s="21">
        <f>IFERROR(__xludf.DUMMYFUNCTION("""COMPUTED_VALUE"""),0.6625000000000001)</f>
        <v>0.6625</v>
      </c>
      <c r="D670" s="21">
        <f>IFERROR(__xludf.DUMMYFUNCTION("""COMPUTED_VALUE"""),0.835)</f>
        <v>0.835</v>
      </c>
      <c r="E670" s="20">
        <f>IFERROR(__xludf.DUMMYFUNCTION("""COMPUTED_VALUE"""),0.5046578571428572)</f>
        <v>0.5046578571</v>
      </c>
      <c r="F670" s="20">
        <f>IFERROR(__xludf.DUMMYFUNCTION("""COMPUTED_VALUE"""),0.5764663214285713)</f>
        <v>0.5764663214</v>
      </c>
      <c r="G670" s="20">
        <f>IFERROR(__xludf.DUMMYFUNCTION("""COMPUTED_VALUE"""),0.467879)</f>
        <v>0.467879</v>
      </c>
      <c r="H670" s="23"/>
      <c r="J670" s="22"/>
    </row>
    <row r="671">
      <c r="A671" s="24">
        <f>IFERROR(__xludf.DUMMYFUNCTION("""COMPUTED_VALUE"""),45231.0)</f>
        <v>45231</v>
      </c>
      <c r="B671" s="20">
        <f>IFERROR(__xludf.DUMMYFUNCTION("""COMPUTED_VALUE"""),0.7397333333333331)</f>
        <v>0.7397333333</v>
      </c>
      <c r="C671" s="21">
        <f>IFERROR(__xludf.DUMMYFUNCTION("""COMPUTED_VALUE"""),0.6625000000000001)</f>
        <v>0.6625</v>
      </c>
      <c r="D671" s="21">
        <f>IFERROR(__xludf.DUMMYFUNCTION("""COMPUTED_VALUE"""),0.835)</f>
        <v>0.835</v>
      </c>
      <c r="E671" s="20">
        <f>IFERROR(__xludf.DUMMYFUNCTION("""COMPUTED_VALUE"""),0.4878435714285714)</f>
        <v>0.4878435714</v>
      </c>
      <c r="F671" s="20">
        <f>IFERROR(__xludf.DUMMYFUNCTION("""COMPUTED_VALUE"""),0.5703860464285714)</f>
        <v>0.5703860464</v>
      </c>
      <c r="G671" s="20">
        <f>IFERROR(__xludf.DUMMYFUNCTION("""COMPUTED_VALUE"""),0.455089)</f>
        <v>0.455089</v>
      </c>
      <c r="H671" s="23"/>
      <c r="J671" s="22"/>
    </row>
    <row r="672">
      <c r="A672" s="24">
        <f>IFERROR(__xludf.DUMMYFUNCTION("""COMPUTED_VALUE"""),45232.0)</f>
        <v>45232</v>
      </c>
      <c r="B672" s="20">
        <f>IFERROR(__xludf.DUMMYFUNCTION("""COMPUTED_VALUE"""),0.7397333333333331)</f>
        <v>0.7397333333</v>
      </c>
      <c r="C672" s="21">
        <f>IFERROR(__xludf.DUMMYFUNCTION("""COMPUTED_VALUE"""),0.6625000000000001)</f>
        <v>0.6625</v>
      </c>
      <c r="D672" s="21">
        <f>IFERROR(__xludf.DUMMYFUNCTION("""COMPUTED_VALUE"""),0.835)</f>
        <v>0.835</v>
      </c>
      <c r="E672" s="20">
        <f>IFERROR(__xludf.DUMMYFUNCTION("""COMPUTED_VALUE"""),0.4738571428571428)</f>
        <v>0.4738571429</v>
      </c>
      <c r="F672" s="20">
        <f>IFERROR(__xludf.DUMMYFUNCTION("""COMPUTED_VALUE"""),0.5643787607142857)</f>
        <v>0.5643787607</v>
      </c>
      <c r="G672" s="20">
        <f>IFERROR(__xludf.DUMMYFUNCTION("""COMPUTED_VALUE"""),0.455089)</f>
        <v>0.455089</v>
      </c>
      <c r="H672" s="23"/>
      <c r="J672" s="22"/>
    </row>
    <row r="673">
      <c r="A673" s="24">
        <f>IFERROR(__xludf.DUMMYFUNCTION("""COMPUTED_VALUE"""),45233.0)</f>
        <v>45233</v>
      </c>
      <c r="B673" s="20">
        <f>IFERROR(__xludf.DUMMYFUNCTION("""COMPUTED_VALUE"""),0.7397333333333331)</f>
        <v>0.7397333333</v>
      </c>
      <c r="C673" s="21">
        <f>IFERROR(__xludf.DUMMYFUNCTION("""COMPUTED_VALUE"""),0.6625000000000001)</f>
        <v>0.6625</v>
      </c>
      <c r="D673" s="21">
        <f>IFERROR(__xludf.DUMMYFUNCTION("""COMPUTED_VALUE"""),0.835)</f>
        <v>0.835</v>
      </c>
      <c r="E673" s="20">
        <f>IFERROR(__xludf.DUMMYFUNCTION("""COMPUTED_VALUE"""),0.4619342857142857)</f>
        <v>0.4619342857</v>
      </c>
      <c r="F673" s="20">
        <f>IFERROR(__xludf.DUMMYFUNCTION("""COMPUTED_VALUE"""),0.5583187392857143)</f>
        <v>0.5583187393</v>
      </c>
      <c r="G673" s="20">
        <f>IFERROR(__xludf.DUMMYFUNCTION("""COMPUTED_VALUE"""),0.455089)</f>
        <v>0.455089</v>
      </c>
      <c r="H673" s="23"/>
      <c r="J673" s="22"/>
    </row>
    <row r="674">
      <c r="A674" s="19">
        <f>IFERROR(__xludf.DUMMYFUNCTION("""COMPUTED_VALUE"""),45234.0)</f>
        <v>45234</v>
      </c>
      <c r="B674" s="20">
        <f>IFERROR(__xludf.DUMMYFUNCTION("""COMPUTED_VALUE"""),0.7397333333333331)</f>
        <v>0.7397333333</v>
      </c>
      <c r="C674" s="21">
        <f>IFERROR(__xludf.DUMMYFUNCTION("""COMPUTED_VALUE"""),0.6625000000000001)</f>
        <v>0.6625</v>
      </c>
      <c r="D674" s="21">
        <f>IFERROR(__xludf.DUMMYFUNCTION("""COMPUTED_VALUE"""),0.835)</f>
        <v>0.835</v>
      </c>
      <c r="E674" s="20">
        <f>IFERROR(__xludf.DUMMYFUNCTION("""COMPUTED_VALUE"""),0.45108142857142847)</f>
        <v>0.4510814286</v>
      </c>
      <c r="F674" s="20">
        <f>IFERROR(__xludf.DUMMYFUNCTION("""COMPUTED_VALUE"""),0.5522587178571429)</f>
        <v>0.5522587179</v>
      </c>
      <c r="G674" s="20">
        <f>IFERROR(__xludf.DUMMYFUNCTION("""COMPUTED_VALUE"""),0.455089)</f>
        <v>0.455089</v>
      </c>
      <c r="H674" s="20"/>
      <c r="J674" s="22"/>
    </row>
    <row r="675">
      <c r="A675" s="19">
        <f>IFERROR(__xludf.DUMMYFUNCTION("""COMPUTED_VALUE"""),45235.0)</f>
        <v>45235</v>
      </c>
      <c r="B675" s="20">
        <f>IFERROR(__xludf.DUMMYFUNCTION("""COMPUTED_VALUE"""),0.7397333333333331)</f>
        <v>0.7397333333</v>
      </c>
      <c r="C675" s="21">
        <f>IFERROR(__xludf.DUMMYFUNCTION("""COMPUTED_VALUE"""),0.6625000000000001)</f>
        <v>0.6625</v>
      </c>
      <c r="D675" s="21">
        <f>IFERROR(__xludf.DUMMYFUNCTION("""COMPUTED_VALUE"""),0.835)</f>
        <v>0.835</v>
      </c>
      <c r="E675" s="20">
        <f>IFERROR(__xludf.DUMMYFUNCTION("""COMPUTED_VALUE"""),0.44022857142857136)</f>
        <v>0.4402285714</v>
      </c>
      <c r="F675" s="20">
        <f>IFERROR(__xludf.DUMMYFUNCTION("""COMPUTED_VALUE"""),0.5461986964285713)</f>
        <v>0.5461986964</v>
      </c>
      <c r="G675" s="20">
        <f>IFERROR(__xludf.DUMMYFUNCTION("""COMPUTED_VALUE"""),0.455089)</f>
        <v>0.455089</v>
      </c>
      <c r="H675" s="20"/>
      <c r="J675" s="22"/>
    </row>
    <row r="676">
      <c r="A676" s="19">
        <f>IFERROR(__xludf.DUMMYFUNCTION("""COMPUTED_VALUE"""),45236.0)</f>
        <v>45236</v>
      </c>
      <c r="B676" s="20">
        <f>IFERROR(__xludf.DUMMYFUNCTION("""COMPUTED_VALUE"""),0.7504000000000001)</f>
        <v>0.7504</v>
      </c>
      <c r="C676" s="21">
        <f>IFERROR(__xludf.DUMMYFUNCTION("""COMPUTED_VALUE"""),0.675)</f>
        <v>0.675</v>
      </c>
      <c r="D676" s="21">
        <f>IFERROR(__xludf.DUMMYFUNCTION("""COMPUTED_VALUE"""),0.865)</f>
        <v>0.865</v>
      </c>
      <c r="E676" s="20">
        <f>IFERROR(__xludf.DUMMYFUNCTION("""COMPUTED_VALUE"""),0.4300635714285713)</f>
        <v>0.4300635714</v>
      </c>
      <c r="F676" s="20">
        <f>IFERROR(__xludf.DUMMYFUNCTION("""COMPUTED_VALUE"""),0.5350569392857142)</f>
        <v>0.5350569393</v>
      </c>
      <c r="G676" s="20">
        <f>IFERROR(__xludf.DUMMYFUNCTION("""COMPUTED_VALUE"""),0.455089)</f>
        <v>0.455089</v>
      </c>
      <c r="H676" s="20"/>
      <c r="J676" s="22"/>
    </row>
    <row r="677">
      <c r="A677" s="19">
        <f>IFERROR(__xludf.DUMMYFUNCTION("""COMPUTED_VALUE"""),45237.0)</f>
        <v>45237</v>
      </c>
      <c r="B677" s="20">
        <f>IFERROR(__xludf.DUMMYFUNCTION("""COMPUTED_VALUE"""),0.7504000000000001)</f>
        <v>0.7504</v>
      </c>
      <c r="C677" s="21">
        <f>IFERROR(__xludf.DUMMYFUNCTION("""COMPUTED_VALUE"""),0.675)</f>
        <v>0.675</v>
      </c>
      <c r="D677" s="21">
        <f>IFERROR(__xludf.DUMMYFUNCTION("""COMPUTED_VALUE"""),0.865)</f>
        <v>0.865</v>
      </c>
      <c r="E677" s="20">
        <f>IFERROR(__xludf.DUMMYFUNCTION("""COMPUTED_VALUE"""),0.42242071428571426)</f>
        <v>0.4224207143</v>
      </c>
      <c r="F677" s="20">
        <f>IFERROR(__xludf.DUMMYFUNCTION("""COMPUTED_VALUE"""),0.5321702321428571)</f>
        <v>0.5321702321</v>
      </c>
      <c r="G677" s="20">
        <f>IFERROR(__xludf.DUMMYFUNCTION("""COMPUTED_VALUE"""),0.455089)</f>
        <v>0.455089</v>
      </c>
      <c r="H677" s="20"/>
      <c r="J677" s="22"/>
    </row>
    <row r="678">
      <c r="A678" s="19">
        <f>IFERROR(__xludf.DUMMYFUNCTION("""COMPUTED_VALUE"""),45238.0)</f>
        <v>45238</v>
      </c>
      <c r="B678" s="20">
        <f>IFERROR(__xludf.DUMMYFUNCTION("""COMPUTED_VALUE"""),0.7504000000000001)</f>
        <v>0.7504</v>
      </c>
      <c r="C678" s="21">
        <f>IFERROR(__xludf.DUMMYFUNCTION("""COMPUTED_VALUE"""),0.675)</f>
        <v>0.675</v>
      </c>
      <c r="D678" s="21">
        <f>IFERROR(__xludf.DUMMYFUNCTION("""COMPUTED_VALUE"""),0.865)</f>
        <v>0.865</v>
      </c>
      <c r="E678" s="20">
        <f>IFERROR(__xludf.DUMMYFUNCTION("""COMPUTED_VALUE"""),0.4309807142857142)</f>
        <v>0.4309807143</v>
      </c>
      <c r="F678" s="20">
        <f>IFERROR(__xludf.DUMMYFUNCTION("""COMPUTED_VALUE"""),0.5285910821428571)</f>
        <v>0.5285910821</v>
      </c>
      <c r="G678" s="20">
        <f>IFERROR(__xludf.DUMMYFUNCTION("""COMPUTED_VALUE"""),0.455089)</f>
        <v>0.455089</v>
      </c>
      <c r="H678" s="20"/>
      <c r="J678" s="22"/>
    </row>
    <row r="679">
      <c r="A679" s="19">
        <f>IFERROR(__xludf.DUMMYFUNCTION("""COMPUTED_VALUE"""),45239.0)</f>
        <v>45239</v>
      </c>
      <c r="B679" s="20">
        <f>IFERROR(__xludf.DUMMYFUNCTION("""COMPUTED_VALUE"""),0.7504000000000001)</f>
        <v>0.7504</v>
      </c>
      <c r="C679" s="21">
        <f>IFERROR(__xludf.DUMMYFUNCTION("""COMPUTED_VALUE"""),0.675)</f>
        <v>0.675</v>
      </c>
      <c r="D679" s="21">
        <f>IFERROR(__xludf.DUMMYFUNCTION("""COMPUTED_VALUE"""),0.865)</f>
        <v>0.865</v>
      </c>
      <c r="E679" s="20">
        <f>IFERROR(__xludf.DUMMYFUNCTION("""COMPUTED_VALUE"""),0.43709499999999996)</f>
        <v>0.437095</v>
      </c>
      <c r="F679" s="20">
        <f>IFERROR(__xludf.DUMMYFUNCTION("""COMPUTED_VALUE"""),0.5273758678571429)</f>
        <v>0.5273758679</v>
      </c>
      <c r="G679" s="20">
        <f>IFERROR(__xludf.DUMMYFUNCTION("""COMPUTED_VALUE"""),0.455089)</f>
        <v>0.455089</v>
      </c>
      <c r="H679" s="20"/>
      <c r="J679" s="22"/>
    </row>
    <row r="680">
      <c r="A680" s="19">
        <f>IFERROR(__xludf.DUMMYFUNCTION("""COMPUTED_VALUE"""),45240.0)</f>
        <v>45240</v>
      </c>
      <c r="B680" s="20">
        <f>IFERROR(__xludf.DUMMYFUNCTION("""COMPUTED_VALUE"""),0.7504000000000001)</f>
        <v>0.7504</v>
      </c>
      <c r="C680" s="21">
        <f>IFERROR(__xludf.DUMMYFUNCTION("""COMPUTED_VALUE"""),0.675)</f>
        <v>0.675</v>
      </c>
      <c r="D680" s="21">
        <f>IFERROR(__xludf.DUMMYFUNCTION("""COMPUTED_VALUE"""),0.865)</f>
        <v>0.865</v>
      </c>
      <c r="E680" s="20">
        <f>IFERROR(__xludf.DUMMYFUNCTION("""COMPUTED_VALUE"""),0.44336214285714287)</f>
        <v>0.4433621429</v>
      </c>
      <c r="F680" s="20">
        <f>IFERROR(__xludf.DUMMYFUNCTION("""COMPUTED_VALUE"""),0.5241200107142857)</f>
        <v>0.5241200107</v>
      </c>
      <c r="G680" s="20">
        <f>IFERROR(__xludf.DUMMYFUNCTION("""COMPUTED_VALUE"""),0.455089)</f>
        <v>0.455089</v>
      </c>
      <c r="H680" s="20"/>
      <c r="J680" s="22"/>
    </row>
    <row r="681">
      <c r="A681" s="19">
        <f>IFERROR(__xludf.DUMMYFUNCTION("""COMPUTED_VALUE"""),45241.0)</f>
        <v>45241</v>
      </c>
      <c r="B681" s="20">
        <f>IFERROR(__xludf.DUMMYFUNCTION("""COMPUTED_VALUE"""),0.7504000000000001)</f>
        <v>0.7504</v>
      </c>
      <c r="C681" s="21">
        <f>IFERROR(__xludf.DUMMYFUNCTION("""COMPUTED_VALUE"""),0.675)</f>
        <v>0.675</v>
      </c>
      <c r="D681" s="21">
        <f>IFERROR(__xludf.DUMMYFUNCTION("""COMPUTED_VALUE"""),0.865)</f>
        <v>0.865</v>
      </c>
      <c r="E681" s="20">
        <f>IFERROR(__xludf.DUMMYFUNCTION("""COMPUTED_VALUE"""),0.44458499999999995)</f>
        <v>0.444585</v>
      </c>
      <c r="F681" s="20">
        <f>IFERROR(__xludf.DUMMYFUNCTION("""COMPUTED_VALUE"""),0.5208641535714286)</f>
        <v>0.5208641536</v>
      </c>
      <c r="G681" s="20">
        <f>IFERROR(__xludf.DUMMYFUNCTION("""COMPUTED_VALUE"""),0.455089)</f>
        <v>0.455089</v>
      </c>
      <c r="H681" s="20"/>
      <c r="J681" s="22"/>
    </row>
    <row r="682">
      <c r="A682" s="24">
        <f>IFERROR(__xludf.DUMMYFUNCTION("""COMPUTED_VALUE"""),45242.0)</f>
        <v>45242</v>
      </c>
      <c r="B682" s="20">
        <f>IFERROR(__xludf.DUMMYFUNCTION("""COMPUTED_VALUE"""),0.7504000000000001)</f>
        <v>0.7504</v>
      </c>
      <c r="C682" s="21">
        <f>IFERROR(__xludf.DUMMYFUNCTION("""COMPUTED_VALUE"""),0.675)</f>
        <v>0.675</v>
      </c>
      <c r="D682" s="21">
        <f>IFERROR(__xludf.DUMMYFUNCTION("""COMPUTED_VALUE"""),0.865)</f>
        <v>0.865</v>
      </c>
      <c r="E682" s="20">
        <f>IFERROR(__xludf.DUMMYFUNCTION("""COMPUTED_VALUE"""),0.4458078571428571)</f>
        <v>0.4458078571</v>
      </c>
      <c r="F682" s="20">
        <f>IFERROR(__xludf.DUMMYFUNCTION("""COMPUTED_VALUE"""),0.5176082964285714)</f>
        <v>0.5176082964</v>
      </c>
      <c r="G682" s="20">
        <f>IFERROR(__xludf.DUMMYFUNCTION("""COMPUTED_VALUE"""),0.455089)</f>
        <v>0.455089</v>
      </c>
      <c r="H682" s="20"/>
      <c r="J682" s="22"/>
    </row>
    <row r="683">
      <c r="A683" s="24">
        <f>IFERROR(__xludf.DUMMYFUNCTION("""COMPUTED_VALUE"""),45243.0)</f>
        <v>45243</v>
      </c>
      <c r="B683" s="20">
        <f>IFERROR(__xludf.DUMMYFUNCTION("""COMPUTED_VALUE"""),0.7504000000000001)</f>
        <v>0.7504</v>
      </c>
      <c r="C683" s="21">
        <f>IFERROR(__xludf.DUMMYFUNCTION("""COMPUTED_VALUE"""),0.675)</f>
        <v>0.675</v>
      </c>
      <c r="D683" s="21">
        <f>IFERROR(__xludf.DUMMYFUNCTION("""COMPUTED_VALUE"""),0.865)</f>
        <v>0.865</v>
      </c>
      <c r="E683" s="20">
        <f>IFERROR(__xludf.DUMMYFUNCTION("""COMPUTED_VALUE"""),0.4484828571428571)</f>
        <v>0.4484828571</v>
      </c>
      <c r="F683" s="20">
        <f>IFERROR(__xludf.DUMMYFUNCTION("""COMPUTED_VALUE"""),0.52054965)</f>
        <v>0.52054965</v>
      </c>
      <c r="G683" s="20">
        <f>IFERROR(__xludf.DUMMYFUNCTION("""COMPUTED_VALUE"""),0.455089)</f>
        <v>0.455089</v>
      </c>
      <c r="H683" s="20"/>
      <c r="J683" s="22"/>
    </row>
    <row r="684">
      <c r="A684" s="24">
        <f>IFERROR(__xludf.DUMMYFUNCTION("""COMPUTED_VALUE"""),45244.0)</f>
        <v>45244</v>
      </c>
      <c r="B684" s="20">
        <f>IFERROR(__xludf.DUMMYFUNCTION("""COMPUTED_VALUE"""),0.7504000000000001)</f>
        <v>0.7504</v>
      </c>
      <c r="C684" s="21">
        <f>IFERROR(__xludf.DUMMYFUNCTION("""COMPUTED_VALUE"""),0.675)</f>
        <v>0.675</v>
      </c>
      <c r="D684" s="21">
        <f>IFERROR(__xludf.DUMMYFUNCTION("""COMPUTED_VALUE"""),0.865)</f>
        <v>0.865</v>
      </c>
      <c r="E684" s="20">
        <f>IFERROR(__xludf.DUMMYFUNCTION("""COMPUTED_VALUE"""),0.4505464285714285)</f>
        <v>0.4505464286</v>
      </c>
      <c r="F684" s="20">
        <f>IFERROR(__xludf.DUMMYFUNCTION("""COMPUTED_VALUE"""),0.5226980571428571)</f>
        <v>0.5226980571</v>
      </c>
      <c r="G684" s="20">
        <f>IFERROR(__xludf.DUMMYFUNCTION("""COMPUTED_VALUE"""),0.455089)</f>
        <v>0.455089</v>
      </c>
      <c r="H684" s="20"/>
      <c r="J684" s="22"/>
    </row>
    <row r="685">
      <c r="A685" s="24">
        <f>IFERROR(__xludf.DUMMYFUNCTION("""COMPUTED_VALUE"""),45245.0)</f>
        <v>45245</v>
      </c>
      <c r="B685" s="20">
        <f>IFERROR(__xludf.DUMMYFUNCTION("""COMPUTED_VALUE"""),0.7504000000000001)</f>
        <v>0.7504</v>
      </c>
      <c r="C685" s="21">
        <f>IFERROR(__xludf.DUMMYFUNCTION("""COMPUTED_VALUE"""),0.675)</f>
        <v>0.675</v>
      </c>
      <c r="D685" s="21">
        <f>IFERROR(__xludf.DUMMYFUNCTION("""COMPUTED_VALUE"""),0.865)</f>
        <v>0.865</v>
      </c>
      <c r="E685" s="20">
        <f>IFERROR(__xludf.DUMMYFUNCTION("""COMPUTED_VALUE"""),0.45199857142857136)</f>
        <v>0.4519985714</v>
      </c>
      <c r="F685" s="20">
        <f>IFERROR(__xludf.DUMMYFUNCTION("""COMPUTED_VALUE"""),0.5243890392857142)</f>
        <v>0.5243890393</v>
      </c>
      <c r="G685" s="20">
        <f>IFERROR(__xludf.DUMMYFUNCTION("""COMPUTED_VALUE"""),0.455089)</f>
        <v>0.455089</v>
      </c>
      <c r="H685" s="20"/>
      <c r="J685" s="22"/>
    </row>
    <row r="686">
      <c r="A686" s="24">
        <f>IFERROR(__xludf.DUMMYFUNCTION("""COMPUTED_VALUE"""),45246.0)</f>
        <v>45246</v>
      </c>
      <c r="B686" s="20">
        <f>IFERROR(__xludf.DUMMYFUNCTION("""COMPUTED_VALUE"""),0.7504000000000001)</f>
        <v>0.7504</v>
      </c>
      <c r="C686" s="21">
        <f>IFERROR(__xludf.DUMMYFUNCTION("""COMPUTED_VALUE"""),0.675)</f>
        <v>0.675</v>
      </c>
      <c r="D686" s="21">
        <f>IFERROR(__xludf.DUMMYFUNCTION("""COMPUTED_VALUE"""),0.865)</f>
        <v>0.865</v>
      </c>
      <c r="E686" s="20">
        <f>IFERROR(__xludf.DUMMYFUNCTION("""COMPUTED_VALUE"""),0.45329785714285714)</f>
        <v>0.4532978571</v>
      </c>
      <c r="F686" s="20">
        <f>IFERROR(__xludf.DUMMYFUNCTION("""COMPUTED_VALUE"""),0.5216372285714285)</f>
        <v>0.5216372286</v>
      </c>
      <c r="G686" s="20">
        <f>IFERROR(__xludf.DUMMYFUNCTION("""COMPUTED_VALUE"""),0.455089)</f>
        <v>0.455089</v>
      </c>
      <c r="H686" s="20"/>
      <c r="J686" s="22"/>
    </row>
    <row r="687">
      <c r="A687" s="24">
        <f>IFERROR(__xludf.DUMMYFUNCTION("""COMPUTED_VALUE"""),45247.0)</f>
        <v>45247</v>
      </c>
      <c r="B687" s="20">
        <f>IFERROR(__xludf.DUMMYFUNCTION("""COMPUTED_VALUE"""),0.7504000000000001)</f>
        <v>0.7504</v>
      </c>
      <c r="C687" s="21">
        <f>IFERROR(__xludf.DUMMYFUNCTION("""COMPUTED_VALUE"""),0.675)</f>
        <v>0.675</v>
      </c>
      <c r="D687" s="21">
        <f>IFERROR(__xludf.DUMMYFUNCTION("""COMPUTED_VALUE"""),0.865)</f>
        <v>0.865</v>
      </c>
      <c r="E687" s="20">
        <f>IFERROR(__xludf.DUMMYFUNCTION("""COMPUTED_VALUE"""),0.45367999999999997)</f>
        <v>0.45368</v>
      </c>
      <c r="F687" s="20">
        <f>IFERROR(__xludf.DUMMYFUNCTION("""COMPUTED_VALUE"""),0.5197532642857142)</f>
        <v>0.5197532643</v>
      </c>
      <c r="G687" s="20">
        <f>IFERROR(__xludf.DUMMYFUNCTION("""COMPUTED_VALUE"""),0.455089)</f>
        <v>0.455089</v>
      </c>
      <c r="H687" s="20"/>
      <c r="J687" s="22"/>
    </row>
    <row r="688">
      <c r="A688" s="24">
        <f>IFERROR(__xludf.DUMMYFUNCTION("""COMPUTED_VALUE"""),45248.0)</f>
        <v>45248</v>
      </c>
      <c r="B688" s="20">
        <f>IFERROR(__xludf.DUMMYFUNCTION("""COMPUTED_VALUE"""),0.7504000000000001)</f>
        <v>0.7504</v>
      </c>
      <c r="C688" s="21">
        <f>IFERROR(__xludf.DUMMYFUNCTION("""COMPUTED_VALUE"""),0.675)</f>
        <v>0.675</v>
      </c>
      <c r="D688" s="21">
        <f>IFERROR(__xludf.DUMMYFUNCTION("""COMPUTED_VALUE"""),0.865)</f>
        <v>0.865</v>
      </c>
      <c r="E688" s="20">
        <f>IFERROR(__xludf.DUMMYFUNCTION("""COMPUTED_VALUE"""),0.4587242857142857)</f>
        <v>0.4587242857</v>
      </c>
      <c r="F688" s="20">
        <f>IFERROR(__xludf.DUMMYFUNCTION("""COMPUTED_VALUE"""),0.5178693)</f>
        <v>0.5178693</v>
      </c>
      <c r="G688" s="20">
        <f>IFERROR(__xludf.DUMMYFUNCTION("""COMPUTED_VALUE"""),0.455089)</f>
        <v>0.455089</v>
      </c>
      <c r="H688" s="20"/>
      <c r="J688" s="22"/>
    </row>
    <row r="689">
      <c r="A689" s="24">
        <f>IFERROR(__xludf.DUMMYFUNCTION("""COMPUTED_VALUE"""),45249.0)</f>
        <v>45249</v>
      </c>
      <c r="B689" s="20">
        <f>IFERROR(__xludf.DUMMYFUNCTION("""COMPUTED_VALUE"""),0.7504000000000001)</f>
        <v>0.7504</v>
      </c>
      <c r="C689" s="21">
        <f>IFERROR(__xludf.DUMMYFUNCTION("""COMPUTED_VALUE"""),0.675)</f>
        <v>0.675</v>
      </c>
      <c r="D689" s="25">
        <f>IFERROR(__xludf.DUMMYFUNCTION("""COMPUTED_VALUE"""),0.865)</f>
        <v>0.865</v>
      </c>
      <c r="E689" s="20">
        <f>IFERROR(__xludf.DUMMYFUNCTION("""COMPUTED_VALUE"""),0.46376857142857136)</f>
        <v>0.4637685714</v>
      </c>
      <c r="F689" s="20">
        <f>IFERROR(__xludf.DUMMYFUNCTION("""COMPUTED_VALUE"""),0.5159853357142857)</f>
        <v>0.5159853357</v>
      </c>
      <c r="G689" s="20">
        <f>IFERROR(__xludf.DUMMYFUNCTION("""COMPUTED_VALUE"""),0.455089)</f>
        <v>0.455089</v>
      </c>
      <c r="H689" s="23"/>
      <c r="J689" s="22"/>
    </row>
    <row r="690">
      <c r="A690" s="24">
        <f>IFERROR(__xludf.DUMMYFUNCTION("""COMPUTED_VALUE"""),45250.0)</f>
        <v>45250</v>
      </c>
      <c r="B690" s="20">
        <f>IFERROR(__xludf.DUMMYFUNCTION("""COMPUTED_VALUE"""),0.7504000000000001)</f>
        <v>0.7504</v>
      </c>
      <c r="C690" s="21">
        <f>IFERROR(__xludf.DUMMYFUNCTION("""COMPUTED_VALUE"""),0.675)</f>
        <v>0.675</v>
      </c>
      <c r="D690" s="25">
        <f>IFERROR(__xludf.DUMMYFUNCTION("""COMPUTED_VALUE"""),0.865)</f>
        <v>0.865</v>
      </c>
      <c r="E690" s="20">
        <f>IFERROR(__xludf.DUMMYFUNCTION("""COMPUTED_VALUE"""),0.46468571428571426)</f>
        <v>0.4646857143</v>
      </c>
      <c r="F690" s="20">
        <f>IFERROR(__xludf.DUMMYFUNCTION("""COMPUTED_VALUE"""),0.5134352964285714)</f>
        <v>0.5134352964</v>
      </c>
      <c r="G690" s="20">
        <f>IFERROR(__xludf.DUMMYFUNCTION("""COMPUTED_VALUE"""),0.455089)</f>
        <v>0.455089</v>
      </c>
      <c r="H690" s="23"/>
      <c r="J690" s="22"/>
    </row>
    <row r="691">
      <c r="A691" s="24">
        <f>IFERROR(__xludf.DUMMYFUNCTION("""COMPUTED_VALUE"""),45251.0)</f>
        <v>45251</v>
      </c>
      <c r="B691" s="20">
        <f>IFERROR(__xludf.DUMMYFUNCTION("""COMPUTED_VALUE"""),0.7504000000000001)</f>
        <v>0.7504</v>
      </c>
      <c r="C691" s="21">
        <f>IFERROR(__xludf.DUMMYFUNCTION("""COMPUTED_VALUE"""),0.675)</f>
        <v>0.675</v>
      </c>
      <c r="D691" s="25">
        <f>IFERROR(__xludf.DUMMYFUNCTION("""COMPUTED_VALUE"""),0.865)</f>
        <v>0.865</v>
      </c>
      <c r="E691" s="20">
        <f>IFERROR(__xludf.DUMMYFUNCTION("""COMPUTED_VALUE"""),0.46499142857142856)</f>
        <v>0.4649914286</v>
      </c>
      <c r="F691" s="20">
        <f>IFERROR(__xludf.DUMMYFUNCTION("""COMPUTED_VALUE"""),0.5085132964285715)</f>
        <v>0.5085132964</v>
      </c>
      <c r="G691" s="20">
        <f>IFERROR(__xludf.DUMMYFUNCTION("""COMPUTED_VALUE"""),0.455089)</f>
        <v>0.455089</v>
      </c>
      <c r="H691" s="23"/>
      <c r="J691" s="22"/>
    </row>
    <row r="692">
      <c r="A692" s="24">
        <f>IFERROR(__xludf.DUMMYFUNCTION("""COMPUTED_VALUE"""),45252.0)</f>
        <v>45252</v>
      </c>
      <c r="B692" s="20">
        <f>IFERROR(__xludf.DUMMYFUNCTION("""COMPUTED_VALUE"""),0.7504000000000001)</f>
        <v>0.7504</v>
      </c>
      <c r="C692" s="21">
        <f>IFERROR(__xludf.DUMMYFUNCTION("""COMPUTED_VALUE"""),0.675)</f>
        <v>0.675</v>
      </c>
      <c r="D692" s="25">
        <f>IFERROR(__xludf.DUMMYFUNCTION("""COMPUTED_VALUE"""),0.865)</f>
        <v>0.865</v>
      </c>
      <c r="E692" s="20">
        <f>IFERROR(__xludf.DUMMYFUNCTION("""COMPUTED_VALUE"""),0.4658321428571428)</f>
        <v>0.4658321429</v>
      </c>
      <c r="F692" s="20">
        <f>IFERROR(__xludf.DUMMYFUNCTION("""COMPUTED_VALUE"""),0.5048202678571428)</f>
        <v>0.5048202679</v>
      </c>
      <c r="G692" s="20">
        <f>IFERROR(__xludf.DUMMYFUNCTION("""COMPUTED_VALUE"""),0.455089)</f>
        <v>0.455089</v>
      </c>
      <c r="H692" s="23"/>
      <c r="J692" s="22"/>
    </row>
    <row r="693">
      <c r="A693" s="24">
        <f>IFERROR(__xludf.DUMMYFUNCTION("""COMPUTED_VALUE"""),45253.0)</f>
        <v>45253</v>
      </c>
      <c r="B693" s="20">
        <f>IFERROR(__xludf.DUMMYFUNCTION("""COMPUTED_VALUE"""),0.7504000000000001)</f>
        <v>0.7504</v>
      </c>
      <c r="C693" s="21">
        <f>IFERROR(__xludf.DUMMYFUNCTION("""COMPUTED_VALUE"""),0.675)</f>
        <v>0.675</v>
      </c>
      <c r="D693" s="25">
        <f>IFERROR(__xludf.DUMMYFUNCTION("""COMPUTED_VALUE"""),0.865)</f>
        <v>0.865</v>
      </c>
      <c r="E693" s="20">
        <f>IFERROR(__xludf.DUMMYFUNCTION("""COMPUTED_VALUE"""),0.46468571428571426)</f>
        <v>0.4646857143</v>
      </c>
      <c r="F693" s="20">
        <f>IFERROR(__xludf.DUMMYFUNCTION("""COMPUTED_VALUE"""),0.5048730035714286)</f>
        <v>0.5048730036</v>
      </c>
      <c r="G693" s="20">
        <f>IFERROR(__xludf.DUMMYFUNCTION("""COMPUTED_VALUE"""),0.455089)</f>
        <v>0.455089</v>
      </c>
      <c r="H693" s="23"/>
      <c r="J693" s="22"/>
    </row>
    <row r="694">
      <c r="A694" s="24">
        <f>IFERROR(__xludf.DUMMYFUNCTION("""COMPUTED_VALUE"""),45254.0)</f>
        <v>45254</v>
      </c>
      <c r="B694" s="20">
        <f>IFERROR(__xludf.DUMMYFUNCTION("""COMPUTED_VALUE"""),0.7504000000000001)</f>
        <v>0.7504</v>
      </c>
      <c r="C694" s="21">
        <f>IFERROR(__xludf.DUMMYFUNCTION("""COMPUTED_VALUE"""),0.675)</f>
        <v>0.675</v>
      </c>
      <c r="D694" s="25">
        <f>IFERROR(__xludf.DUMMYFUNCTION("""COMPUTED_VALUE"""),0.865)</f>
        <v>0.865</v>
      </c>
      <c r="E694" s="20">
        <f>IFERROR(__xludf.DUMMYFUNCTION("""COMPUTED_VALUE"""),0.46690214285714277)</f>
        <v>0.4669021429</v>
      </c>
      <c r="F694" s="20">
        <f>IFERROR(__xludf.DUMMYFUNCTION("""COMPUTED_VALUE"""),0.5059880964285715)</f>
        <v>0.5059880964</v>
      </c>
      <c r="G694" s="20">
        <f>IFERROR(__xludf.DUMMYFUNCTION("""COMPUTED_VALUE"""),0.455089)</f>
        <v>0.455089</v>
      </c>
      <c r="H694" s="23"/>
      <c r="J694" s="22"/>
    </row>
    <row r="695">
      <c r="A695" s="24">
        <f>IFERROR(__xludf.DUMMYFUNCTION("""COMPUTED_VALUE"""),45255.0)</f>
        <v>45255</v>
      </c>
      <c r="B695" s="20">
        <f>IFERROR(__xludf.DUMMYFUNCTION("""COMPUTED_VALUE"""),0.7504000000000001)</f>
        <v>0.7504</v>
      </c>
      <c r="C695" s="21">
        <f>IFERROR(__xludf.DUMMYFUNCTION("""COMPUTED_VALUE"""),0.675)</f>
        <v>0.675</v>
      </c>
      <c r="D695" s="25">
        <f>IFERROR(__xludf.DUMMYFUNCTION("""COMPUTED_VALUE"""),0.865)</f>
        <v>0.865</v>
      </c>
      <c r="E695" s="20">
        <f>IFERROR(__xludf.DUMMYFUNCTION("""COMPUTED_VALUE"""),0.4715642857142856)</f>
        <v>0.4715642857</v>
      </c>
      <c r="F695" s="20">
        <f>IFERROR(__xludf.DUMMYFUNCTION("""COMPUTED_VALUE"""),0.5071031892857143)</f>
        <v>0.5071031893</v>
      </c>
      <c r="G695" s="20">
        <f>IFERROR(__xludf.DUMMYFUNCTION("""COMPUTED_VALUE"""),0.455089)</f>
        <v>0.455089</v>
      </c>
      <c r="H695" s="23"/>
      <c r="J695" s="22"/>
    </row>
    <row r="696">
      <c r="A696" s="24">
        <f>IFERROR(__xludf.DUMMYFUNCTION("""COMPUTED_VALUE"""),45256.0)</f>
        <v>45256</v>
      </c>
      <c r="B696" s="20">
        <f>IFERROR(__xludf.DUMMYFUNCTION("""COMPUTED_VALUE"""),0.7504000000000001)</f>
        <v>0.7504</v>
      </c>
      <c r="C696" s="21">
        <f>IFERROR(__xludf.DUMMYFUNCTION("""COMPUTED_VALUE"""),0.675)</f>
        <v>0.675</v>
      </c>
      <c r="D696" s="25">
        <f>IFERROR(__xludf.DUMMYFUNCTION("""COMPUTED_VALUE"""),0.865)</f>
        <v>0.865</v>
      </c>
      <c r="E696" s="20">
        <f>IFERROR(__xludf.DUMMYFUNCTION("""COMPUTED_VALUE"""),0.4762264285714285)</f>
        <v>0.4762264286</v>
      </c>
      <c r="F696" s="20">
        <f>IFERROR(__xludf.DUMMYFUNCTION("""COMPUTED_VALUE"""),0.508218282142857)</f>
        <v>0.5082182821</v>
      </c>
      <c r="G696" s="20">
        <f>IFERROR(__xludf.DUMMYFUNCTION("""COMPUTED_VALUE"""),0.455089)</f>
        <v>0.455089</v>
      </c>
      <c r="H696" s="23"/>
      <c r="J696" s="22"/>
    </row>
    <row r="697">
      <c r="A697" s="24">
        <f>IFERROR(__xludf.DUMMYFUNCTION("""COMPUTED_VALUE"""),45257.0)</f>
        <v>45257</v>
      </c>
      <c r="B697" s="20">
        <f>IFERROR(__xludf.DUMMYFUNCTION("""COMPUTED_VALUE"""),0.749577777777778)</f>
        <v>0.7495777778</v>
      </c>
      <c r="C697" s="21">
        <f>IFERROR(__xludf.DUMMYFUNCTION("""COMPUTED_VALUE"""),0.65)</f>
        <v>0.65</v>
      </c>
      <c r="D697" s="25">
        <f>IFERROR(__xludf.DUMMYFUNCTION("""COMPUTED_VALUE"""),0.865)</f>
        <v>0.865</v>
      </c>
      <c r="E697" s="20">
        <f>IFERROR(__xludf.DUMMYFUNCTION("""COMPUTED_VALUE"""),0.48348714285714284)</f>
        <v>0.4834871429</v>
      </c>
      <c r="F697" s="20">
        <f>IFERROR(__xludf.DUMMYFUNCTION("""COMPUTED_VALUE"""),0.5053930999999999)</f>
        <v>0.5053931</v>
      </c>
      <c r="G697" s="20">
        <f>IFERROR(__xludf.DUMMYFUNCTION("""COMPUTED_VALUE"""),0.455089)</f>
        <v>0.455089</v>
      </c>
      <c r="H697" s="23"/>
      <c r="J697" s="22"/>
    </row>
    <row r="698">
      <c r="A698" s="24">
        <f>IFERROR(__xludf.DUMMYFUNCTION("""COMPUTED_VALUE"""),45258.0)</f>
        <v>45258</v>
      </c>
      <c r="B698" s="20">
        <f>IFERROR(__xludf.DUMMYFUNCTION("""COMPUTED_VALUE"""),0.749577777777778)</f>
        <v>0.7495777778</v>
      </c>
      <c r="C698" s="21">
        <f>IFERROR(__xludf.DUMMYFUNCTION("""COMPUTED_VALUE"""),0.65)</f>
        <v>0.65</v>
      </c>
      <c r="D698" s="25">
        <f>IFERROR(__xludf.DUMMYFUNCTION("""COMPUTED_VALUE"""),0.865)</f>
        <v>0.865</v>
      </c>
      <c r="E698" s="20">
        <f>IFERROR(__xludf.DUMMYFUNCTION("""COMPUTED_VALUE"""),0.48555071428571434)</f>
        <v>0.4855507143</v>
      </c>
      <c r="F698" s="20">
        <f>IFERROR(__xludf.DUMMYFUNCTION("""COMPUTED_VALUE"""),0.5027127499999999)</f>
        <v>0.50271275</v>
      </c>
      <c r="G698" s="20">
        <f>IFERROR(__xludf.DUMMYFUNCTION("""COMPUTED_VALUE"""),0.455089)</f>
        <v>0.455089</v>
      </c>
      <c r="H698" s="23"/>
      <c r="J698" s="22"/>
    </row>
    <row r="699">
      <c r="A699" s="24">
        <f>IFERROR(__xludf.DUMMYFUNCTION("""COMPUTED_VALUE"""),45259.0)</f>
        <v>45259</v>
      </c>
      <c r="B699" s="20">
        <f>IFERROR(__xludf.DUMMYFUNCTION("""COMPUTED_VALUE"""),0.749577777777778)</f>
        <v>0.7495777778</v>
      </c>
      <c r="C699" s="21">
        <f>IFERROR(__xludf.DUMMYFUNCTION("""COMPUTED_VALUE"""),0.65)</f>
        <v>0.65</v>
      </c>
      <c r="D699" s="25">
        <f>IFERROR(__xludf.DUMMYFUNCTION("""COMPUTED_VALUE"""),0.865)</f>
        <v>0.865</v>
      </c>
      <c r="E699" s="20">
        <f>IFERROR(__xludf.DUMMYFUNCTION("""COMPUTED_VALUE"""),0.48425142857142855)</f>
        <v>0.4842514286</v>
      </c>
      <c r="F699" s="20">
        <f>IFERROR(__xludf.DUMMYFUNCTION("""COMPUTED_VALUE"""),0.49647847142857143)</f>
        <v>0.4964784714</v>
      </c>
      <c r="G699" s="20">
        <f>IFERROR(__xludf.DUMMYFUNCTION("""COMPUTED_VALUE"""),0.455089)</f>
        <v>0.455089</v>
      </c>
      <c r="H699" s="23"/>
      <c r="J699" s="22"/>
    </row>
    <row r="700">
      <c r="A700" s="24">
        <f>IFERROR(__xludf.DUMMYFUNCTION("""COMPUTED_VALUE"""),45260.0)</f>
        <v>45260</v>
      </c>
      <c r="B700" s="20">
        <f>IFERROR(__xludf.DUMMYFUNCTION("""COMPUTED_VALUE"""),0.749577777777778)</f>
        <v>0.7495777778</v>
      </c>
      <c r="C700" s="21">
        <f>IFERROR(__xludf.DUMMYFUNCTION("""COMPUTED_VALUE"""),0.65)</f>
        <v>0.65</v>
      </c>
      <c r="D700" s="25">
        <f>IFERROR(__xludf.DUMMYFUNCTION("""COMPUTED_VALUE"""),0.865)</f>
        <v>0.865</v>
      </c>
      <c r="E700" s="20">
        <f>IFERROR(__xludf.DUMMYFUNCTION("""COMPUTED_VALUE"""),0.48157642857142857)</f>
        <v>0.4815764286</v>
      </c>
      <c r="F700" s="20">
        <f>IFERROR(__xludf.DUMMYFUNCTION("""COMPUTED_VALUE"""),0.488965925)</f>
        <v>0.488965925</v>
      </c>
      <c r="G700" s="20">
        <f>IFERROR(__xludf.DUMMYFUNCTION("""COMPUTED_VALUE"""),0.455089)</f>
        <v>0.455089</v>
      </c>
      <c r="H700" s="23"/>
      <c r="J700" s="22"/>
    </row>
    <row r="701">
      <c r="A701" s="24">
        <f>IFERROR(__xludf.DUMMYFUNCTION("""COMPUTED_VALUE"""),45261.0)</f>
        <v>45261</v>
      </c>
      <c r="B701" s="20">
        <f>IFERROR(__xludf.DUMMYFUNCTION("""COMPUTED_VALUE"""),0.749577777777778)</f>
        <v>0.7495777778</v>
      </c>
      <c r="C701" s="21">
        <f>IFERROR(__xludf.DUMMYFUNCTION("""COMPUTED_VALUE"""),0.65)</f>
        <v>0.65</v>
      </c>
      <c r="D701" s="25">
        <f>IFERROR(__xludf.DUMMYFUNCTION("""COMPUTED_VALUE"""),0.865)</f>
        <v>0.865</v>
      </c>
      <c r="E701" s="20">
        <f>IFERROR(__xludf.DUMMYFUNCTION("""COMPUTED_VALUE"""),0.47599714285714284)</f>
        <v>0.4759971429</v>
      </c>
      <c r="F701" s="20">
        <f>IFERROR(__xludf.DUMMYFUNCTION("""COMPUTED_VALUE"""),0.48364917142857144)</f>
        <v>0.4836491714</v>
      </c>
      <c r="G701" s="20">
        <f>IFERROR(__xludf.DUMMYFUNCTION("""COMPUTED_VALUE"""),0.388)</f>
        <v>0.388</v>
      </c>
      <c r="H701" s="23"/>
      <c r="J701" s="22"/>
    </row>
    <row r="702">
      <c r="A702" s="24">
        <f>IFERROR(__xludf.DUMMYFUNCTION("""COMPUTED_VALUE"""),45262.0)</f>
        <v>45262</v>
      </c>
      <c r="B702" s="20">
        <f>IFERROR(__xludf.DUMMYFUNCTION("""COMPUTED_VALUE"""),0.749577777777778)</f>
        <v>0.7495777778</v>
      </c>
      <c r="C702" s="21">
        <f>IFERROR(__xludf.DUMMYFUNCTION("""COMPUTED_VALUE"""),0.65)</f>
        <v>0.65</v>
      </c>
      <c r="D702" s="25">
        <f>IFERROR(__xludf.DUMMYFUNCTION("""COMPUTED_VALUE"""),0.865)</f>
        <v>0.865</v>
      </c>
      <c r="E702" s="20">
        <f>IFERROR(__xludf.DUMMYFUNCTION("""COMPUTED_VALUE"""),0.4693478571428571)</f>
        <v>0.4693478571</v>
      </c>
      <c r="F702" s="20">
        <f>IFERROR(__xludf.DUMMYFUNCTION("""COMPUTED_VALUE"""),0.4783324178571429)</f>
        <v>0.4783324179</v>
      </c>
      <c r="G702" s="20">
        <f>IFERROR(__xludf.DUMMYFUNCTION("""COMPUTED_VALUE"""),0.388)</f>
        <v>0.388</v>
      </c>
      <c r="H702" s="23"/>
      <c r="J702" s="22"/>
    </row>
    <row r="703">
      <c r="A703" s="24">
        <f>IFERROR(__xludf.DUMMYFUNCTION("""COMPUTED_VALUE"""),45263.0)</f>
        <v>45263</v>
      </c>
      <c r="B703" s="20">
        <f>IFERROR(__xludf.DUMMYFUNCTION("""COMPUTED_VALUE"""),0.749577777777778)</f>
        <v>0.7495777778</v>
      </c>
      <c r="C703" s="21">
        <f>IFERROR(__xludf.DUMMYFUNCTION("""COMPUTED_VALUE"""),0.65)</f>
        <v>0.65</v>
      </c>
      <c r="D703" s="25">
        <f>IFERROR(__xludf.DUMMYFUNCTION("""COMPUTED_VALUE"""),0.865)</f>
        <v>0.865</v>
      </c>
      <c r="E703" s="20">
        <f>IFERROR(__xludf.DUMMYFUNCTION("""COMPUTED_VALUE"""),0.4626985714285715)</f>
        <v>0.4626985714</v>
      </c>
      <c r="F703" s="20">
        <f>IFERROR(__xludf.DUMMYFUNCTION("""COMPUTED_VALUE"""),0.4730156642857143)</f>
        <v>0.4730156643</v>
      </c>
      <c r="G703" s="20">
        <f>IFERROR(__xludf.DUMMYFUNCTION("""COMPUTED_VALUE"""),0.388)</f>
        <v>0.388</v>
      </c>
      <c r="H703" s="23"/>
      <c r="J703" s="22"/>
    </row>
    <row r="704">
      <c r="A704" s="24">
        <f>IFERROR(__xludf.DUMMYFUNCTION("""COMPUTED_VALUE"""),45264.0)</f>
        <v>45264</v>
      </c>
      <c r="B704" s="20">
        <f>IFERROR(__xludf.DUMMYFUNCTION("""COMPUTED_VALUE"""),0.749577777777778)</f>
        <v>0.7495777778</v>
      </c>
      <c r="C704" s="21">
        <f>IFERROR(__xludf.DUMMYFUNCTION("""COMPUTED_VALUE"""),0.65)</f>
        <v>0.65</v>
      </c>
      <c r="D704" s="25">
        <f>IFERROR(__xludf.DUMMYFUNCTION("""COMPUTED_VALUE"""),0.865)</f>
        <v>0.865</v>
      </c>
      <c r="E704" s="20">
        <f>IFERROR(__xludf.DUMMYFUNCTION("""COMPUTED_VALUE"""),0.4559728571428571)</f>
        <v>0.4559728571</v>
      </c>
      <c r="F704" s="20">
        <f>IFERROR(__xludf.DUMMYFUNCTION("""COMPUTED_VALUE"""),0.46657502857142863)</f>
        <v>0.4665750286</v>
      </c>
      <c r="G704" s="20">
        <f>IFERROR(__xludf.DUMMYFUNCTION("""COMPUTED_VALUE"""),0.388)</f>
        <v>0.388</v>
      </c>
      <c r="H704" s="23"/>
      <c r="J704" s="22"/>
    </row>
    <row r="705">
      <c r="A705" s="24">
        <f>IFERROR(__xludf.DUMMYFUNCTION("""COMPUTED_VALUE"""),45265.0)</f>
        <v>45265</v>
      </c>
      <c r="B705" s="20">
        <f>IFERROR(__xludf.DUMMYFUNCTION("""COMPUTED_VALUE"""),0.749577777777778)</f>
        <v>0.7495777778</v>
      </c>
      <c r="C705" s="21">
        <f>IFERROR(__xludf.DUMMYFUNCTION("""COMPUTED_VALUE"""),0.65)</f>
        <v>0.65</v>
      </c>
      <c r="D705" s="25">
        <f>IFERROR(__xludf.DUMMYFUNCTION("""COMPUTED_VALUE"""),0.865)</f>
        <v>0.865</v>
      </c>
      <c r="E705" s="20">
        <f>IFERROR(__xludf.DUMMYFUNCTION("""COMPUTED_VALUE"""),0.45322142857142855)</f>
        <v>0.4532214286</v>
      </c>
      <c r="F705" s="20">
        <f>IFERROR(__xludf.DUMMYFUNCTION("""COMPUTED_VALUE"""),0.45863792142857146)</f>
        <v>0.4586379214</v>
      </c>
      <c r="G705" s="20">
        <f>IFERROR(__xludf.DUMMYFUNCTION("""COMPUTED_VALUE"""),0.388)</f>
        <v>0.388</v>
      </c>
      <c r="H705" s="23"/>
      <c r="J705" s="22"/>
    </row>
    <row r="706">
      <c r="A706" s="24">
        <f>IFERROR(__xludf.DUMMYFUNCTION("""COMPUTED_VALUE"""),45266.0)</f>
        <v>45266</v>
      </c>
      <c r="B706" s="20">
        <f>IFERROR(__xludf.DUMMYFUNCTION("""COMPUTED_VALUE"""),0.749577777777778)</f>
        <v>0.7495777778</v>
      </c>
      <c r="C706" s="21">
        <f>IFERROR(__xludf.DUMMYFUNCTION("""COMPUTED_VALUE"""),0.65)</f>
        <v>0.65</v>
      </c>
      <c r="D706" s="25">
        <f>IFERROR(__xludf.DUMMYFUNCTION("""COMPUTED_VALUE"""),0.865)</f>
        <v>0.865</v>
      </c>
      <c r="E706" s="20">
        <f>IFERROR(__xludf.DUMMYFUNCTION("""COMPUTED_VALUE"""),0.4487885714285714)</f>
        <v>0.4487885714</v>
      </c>
      <c r="F706" s="20">
        <f>IFERROR(__xludf.DUMMYFUNCTION("""COMPUTED_VALUE"""),0.45565338571428576)</f>
        <v>0.4556533857</v>
      </c>
      <c r="G706" s="20">
        <f>IFERROR(__xludf.DUMMYFUNCTION("""COMPUTED_VALUE"""),0.388)</f>
        <v>0.388</v>
      </c>
      <c r="H706" s="23"/>
      <c r="J706" s="22"/>
    </row>
    <row r="707">
      <c r="A707" s="24">
        <f>IFERROR(__xludf.DUMMYFUNCTION("""COMPUTED_VALUE"""),45267.0)</f>
        <v>45267</v>
      </c>
      <c r="B707" s="20">
        <f>IFERROR(__xludf.DUMMYFUNCTION("""COMPUTED_VALUE"""),0.749577777777778)</f>
        <v>0.7495777778</v>
      </c>
      <c r="C707" s="21">
        <f>IFERROR(__xludf.DUMMYFUNCTION("""COMPUTED_VALUE"""),0.65)</f>
        <v>0.65</v>
      </c>
      <c r="D707" s="25">
        <f>IFERROR(__xludf.DUMMYFUNCTION("""COMPUTED_VALUE"""),0.865)</f>
        <v>0.865</v>
      </c>
      <c r="E707" s="20">
        <f>IFERROR(__xludf.DUMMYFUNCTION("""COMPUTED_VALUE"""),0.44183357142857144)</f>
        <v>0.4418335714</v>
      </c>
      <c r="F707" s="20">
        <f>IFERROR(__xludf.DUMMYFUNCTION("""COMPUTED_VALUE"""),0.4523684857142857)</f>
        <v>0.4523684857</v>
      </c>
      <c r="G707" s="20">
        <f>IFERROR(__xludf.DUMMYFUNCTION("""COMPUTED_VALUE"""),0.388)</f>
        <v>0.388</v>
      </c>
      <c r="H707" s="23"/>
      <c r="J707" s="22"/>
    </row>
    <row r="708">
      <c r="A708" s="24">
        <f>IFERROR(__xludf.DUMMYFUNCTION("""COMPUTED_VALUE"""),45268.0)</f>
        <v>45268</v>
      </c>
      <c r="B708" s="20">
        <f>IFERROR(__xludf.DUMMYFUNCTION("""COMPUTED_VALUE"""),0.749577777777778)</f>
        <v>0.7495777778</v>
      </c>
      <c r="C708" s="21">
        <f>IFERROR(__xludf.DUMMYFUNCTION("""COMPUTED_VALUE"""),0.65)</f>
        <v>0.65</v>
      </c>
      <c r="D708" s="25">
        <f>IFERROR(__xludf.DUMMYFUNCTION("""COMPUTED_VALUE"""),0.865)</f>
        <v>0.865</v>
      </c>
      <c r="E708" s="20">
        <f>IFERROR(__xludf.DUMMYFUNCTION("""COMPUTED_VALUE"""),0.4361014285714285)</f>
        <v>0.4361014286</v>
      </c>
      <c r="F708" s="20">
        <f>IFERROR(__xludf.DUMMYFUNCTION("""COMPUTED_VALUE"""),0.44544061785714284)</f>
        <v>0.4454406179</v>
      </c>
      <c r="G708" s="20">
        <f>IFERROR(__xludf.DUMMYFUNCTION("""COMPUTED_VALUE"""),0.388)</f>
        <v>0.388</v>
      </c>
      <c r="H708" s="23"/>
      <c r="J708" s="22"/>
    </row>
    <row r="709">
      <c r="A709" s="24">
        <f>IFERROR(__xludf.DUMMYFUNCTION("""COMPUTED_VALUE"""),45269.0)</f>
        <v>45269</v>
      </c>
      <c r="B709" s="20">
        <f>IFERROR(__xludf.DUMMYFUNCTION("""COMPUTED_VALUE"""),0.749577777777778)</f>
        <v>0.7495777778</v>
      </c>
      <c r="C709" s="21">
        <f>IFERROR(__xludf.DUMMYFUNCTION("""COMPUTED_VALUE"""),0.65)</f>
        <v>0.65</v>
      </c>
      <c r="D709" s="25">
        <f>IFERROR(__xludf.DUMMYFUNCTION("""COMPUTED_VALUE"""),0.865)</f>
        <v>0.865</v>
      </c>
      <c r="E709" s="20">
        <f>IFERROR(__xludf.DUMMYFUNCTION("""COMPUTED_VALUE"""),0.43044571428571415)</f>
        <v>0.4304457143</v>
      </c>
      <c r="F709" s="20">
        <f>IFERROR(__xludf.DUMMYFUNCTION("""COMPUTED_VALUE"""),0.43851275)</f>
        <v>0.43851275</v>
      </c>
      <c r="G709" s="20">
        <f>IFERROR(__xludf.DUMMYFUNCTION("""COMPUTED_VALUE"""),0.388)</f>
        <v>0.388</v>
      </c>
      <c r="H709" s="23"/>
      <c r="J709" s="22"/>
    </row>
    <row r="710">
      <c r="A710" s="24">
        <f>IFERROR(__xludf.DUMMYFUNCTION("""COMPUTED_VALUE"""),45270.0)</f>
        <v>45270</v>
      </c>
      <c r="B710" s="20">
        <f>IFERROR(__xludf.DUMMYFUNCTION("""COMPUTED_VALUE"""),0.749577777777778)</f>
        <v>0.7495777778</v>
      </c>
      <c r="C710" s="21">
        <f>IFERROR(__xludf.DUMMYFUNCTION("""COMPUTED_VALUE"""),0.65)</f>
        <v>0.65</v>
      </c>
      <c r="D710" s="25">
        <f>IFERROR(__xludf.DUMMYFUNCTION("""COMPUTED_VALUE"""),0.865)</f>
        <v>0.865</v>
      </c>
      <c r="E710" s="20">
        <f>IFERROR(__xludf.DUMMYFUNCTION("""COMPUTED_VALUE"""),0.4247899999999999)</f>
        <v>0.42479</v>
      </c>
      <c r="F710" s="20">
        <f>IFERROR(__xludf.DUMMYFUNCTION("""COMPUTED_VALUE"""),0.4315848821428571)</f>
        <v>0.4315848821</v>
      </c>
      <c r="G710" s="20">
        <f>IFERROR(__xludf.DUMMYFUNCTION("""COMPUTED_VALUE"""),0.388)</f>
        <v>0.388</v>
      </c>
      <c r="H710" s="23"/>
      <c r="J710" s="22"/>
    </row>
    <row r="711">
      <c r="A711" s="24">
        <f>IFERROR(__xludf.DUMMYFUNCTION("""COMPUTED_VALUE"""),45271.0)</f>
        <v>45271</v>
      </c>
      <c r="B711" s="20">
        <f>IFERROR(__xludf.DUMMYFUNCTION("""COMPUTED_VALUE"""),0.7094666666666666)</f>
        <v>0.7094666667</v>
      </c>
      <c r="C711" s="21">
        <f>IFERROR(__xludf.DUMMYFUNCTION("""COMPUTED_VALUE"""),0.611)</f>
        <v>0.611</v>
      </c>
      <c r="D711" s="25">
        <f>IFERROR(__xludf.DUMMYFUNCTION("""COMPUTED_VALUE"""),0.7846)</f>
        <v>0.7846</v>
      </c>
      <c r="E711" s="20">
        <f>IFERROR(__xludf.DUMMYFUNCTION("""COMPUTED_VALUE"""),0.4169178571428572)</f>
        <v>0.4169178571</v>
      </c>
      <c r="F711" s="20">
        <f>IFERROR(__xludf.DUMMYFUNCTION("""COMPUTED_VALUE"""),0.42547976785714287)</f>
        <v>0.4254797679</v>
      </c>
      <c r="G711" s="20">
        <f>IFERROR(__xludf.DUMMYFUNCTION("""COMPUTED_VALUE"""),0.388)</f>
        <v>0.388</v>
      </c>
      <c r="H711" s="23"/>
      <c r="J711" s="22"/>
    </row>
    <row r="712">
      <c r="A712" s="24">
        <f>IFERROR(__xludf.DUMMYFUNCTION("""COMPUTED_VALUE"""),45272.0)</f>
        <v>45272</v>
      </c>
      <c r="B712" s="20">
        <f>IFERROR(__xludf.DUMMYFUNCTION("""COMPUTED_VALUE"""),0.7094666666666666)</f>
        <v>0.7094666667</v>
      </c>
      <c r="C712" s="21">
        <f>IFERROR(__xludf.DUMMYFUNCTION("""COMPUTED_VALUE"""),0.611)</f>
        <v>0.611</v>
      </c>
      <c r="D712" s="25">
        <f>IFERROR(__xludf.DUMMYFUNCTION("""COMPUTED_VALUE"""),0.7846)</f>
        <v>0.7846</v>
      </c>
      <c r="E712" s="20">
        <f>IFERROR(__xludf.DUMMYFUNCTION("""COMPUTED_VALUE"""),0.40736428571428573)</f>
        <v>0.4073642857</v>
      </c>
      <c r="F712" s="20">
        <f>IFERROR(__xludf.DUMMYFUNCTION("""COMPUTED_VALUE"""),0.4208290892857143)</f>
        <v>0.4208290893</v>
      </c>
      <c r="G712" s="20">
        <f>IFERROR(__xludf.DUMMYFUNCTION("""COMPUTED_VALUE"""),0.388)</f>
        <v>0.388</v>
      </c>
      <c r="H712" s="23"/>
      <c r="J712" s="22"/>
    </row>
    <row r="713">
      <c r="A713" s="24">
        <f>IFERROR(__xludf.DUMMYFUNCTION("""COMPUTED_VALUE"""),45273.0)</f>
        <v>45273</v>
      </c>
      <c r="B713" s="20">
        <f>IFERROR(__xludf.DUMMYFUNCTION("""COMPUTED_VALUE"""),0.7094666666666666)</f>
        <v>0.7094666667</v>
      </c>
      <c r="C713" s="21">
        <f>IFERROR(__xludf.DUMMYFUNCTION("""COMPUTED_VALUE"""),0.611)</f>
        <v>0.611</v>
      </c>
      <c r="D713" s="25">
        <f>IFERROR(__xludf.DUMMYFUNCTION("""COMPUTED_VALUE"""),0.7846)</f>
        <v>0.7846</v>
      </c>
      <c r="E713" s="20">
        <f>IFERROR(__xludf.DUMMYFUNCTION("""COMPUTED_VALUE"""),0.3994157142857143)</f>
        <v>0.3994157143</v>
      </c>
      <c r="F713" s="20">
        <f>IFERROR(__xludf.DUMMYFUNCTION("""COMPUTED_VALUE"""),0.41613637499999995)</f>
        <v>0.416136375</v>
      </c>
      <c r="G713" s="20">
        <f>IFERROR(__xludf.DUMMYFUNCTION("""COMPUTED_VALUE"""),0.388)</f>
        <v>0.388</v>
      </c>
      <c r="H713" s="23"/>
      <c r="J713" s="22"/>
    </row>
    <row r="714">
      <c r="A714" s="24">
        <f>IFERROR(__xludf.DUMMYFUNCTION("""COMPUTED_VALUE"""),45274.0)</f>
        <v>45274</v>
      </c>
      <c r="B714" s="20">
        <f>IFERROR(__xludf.DUMMYFUNCTION("""COMPUTED_VALUE"""),0.7094666666666666)</f>
        <v>0.7094666667</v>
      </c>
      <c r="C714" s="21">
        <f>IFERROR(__xludf.DUMMYFUNCTION("""COMPUTED_VALUE"""),0.611)</f>
        <v>0.611</v>
      </c>
      <c r="D714" s="25">
        <f>IFERROR(__xludf.DUMMYFUNCTION("""COMPUTED_VALUE"""),0.7846)</f>
        <v>0.7846</v>
      </c>
      <c r="E714" s="20">
        <f>IFERROR(__xludf.DUMMYFUNCTION("""COMPUTED_VALUE"""),0.39872785714285713)</f>
        <v>0.3987278571</v>
      </c>
      <c r="F714" s="20">
        <f>IFERROR(__xludf.DUMMYFUNCTION("""COMPUTED_VALUE"""),0.40900406071428563)</f>
        <v>0.4090040607</v>
      </c>
      <c r="G714" s="20">
        <f>IFERROR(__xludf.DUMMYFUNCTION("""COMPUTED_VALUE"""),0.388)</f>
        <v>0.388</v>
      </c>
      <c r="H714" s="23"/>
      <c r="J714" s="22"/>
    </row>
    <row r="715">
      <c r="A715" s="24">
        <f>IFERROR(__xludf.DUMMYFUNCTION("""COMPUTED_VALUE"""),45275.0)</f>
        <v>45275</v>
      </c>
      <c r="B715" s="20">
        <f>IFERROR(__xludf.DUMMYFUNCTION("""COMPUTED_VALUE"""),0.7094666666666666)</f>
        <v>0.7094666667</v>
      </c>
      <c r="C715" s="21">
        <f>IFERROR(__xludf.DUMMYFUNCTION("""COMPUTED_VALUE"""),0.611)</f>
        <v>0.611</v>
      </c>
      <c r="D715" s="25">
        <f>IFERROR(__xludf.DUMMYFUNCTION("""COMPUTED_VALUE"""),0.7846)</f>
        <v>0.7846</v>
      </c>
      <c r="E715" s="20">
        <f>IFERROR(__xludf.DUMMYFUNCTION("""COMPUTED_VALUE"""),0.39620571428571427)</f>
        <v>0.3962057143</v>
      </c>
      <c r="F715" s="20">
        <f>IFERROR(__xludf.DUMMYFUNCTION("""COMPUTED_VALUE"""),0.4014047678571428)</f>
        <v>0.4014047679</v>
      </c>
      <c r="G715" s="20">
        <f>IFERROR(__xludf.DUMMYFUNCTION("""COMPUTED_VALUE"""),0.388)</f>
        <v>0.388</v>
      </c>
      <c r="H715" s="23"/>
      <c r="J715" s="22"/>
    </row>
    <row r="716">
      <c r="A716" s="24">
        <f>IFERROR(__xludf.DUMMYFUNCTION("""COMPUTED_VALUE"""),45276.0)</f>
        <v>45276</v>
      </c>
      <c r="B716" s="20">
        <f>IFERROR(__xludf.DUMMYFUNCTION("""COMPUTED_VALUE"""),0.7094666666666666)</f>
        <v>0.7094666667</v>
      </c>
      <c r="C716" s="21">
        <f>IFERROR(__xludf.DUMMYFUNCTION("""COMPUTED_VALUE"""),0.611)</f>
        <v>0.611</v>
      </c>
      <c r="D716" s="25">
        <f>IFERROR(__xludf.DUMMYFUNCTION("""COMPUTED_VALUE"""),0.7846)</f>
        <v>0.7846</v>
      </c>
      <c r="E716" s="20">
        <f>IFERROR(__xludf.DUMMYFUNCTION("""COMPUTED_VALUE"""),0.3867285714285714)</f>
        <v>0.3867285714</v>
      </c>
      <c r="F716" s="20">
        <f>IFERROR(__xludf.DUMMYFUNCTION("""COMPUTED_VALUE"""),0.3938054749999999)</f>
        <v>0.393805475</v>
      </c>
      <c r="G716" s="20">
        <f>IFERROR(__xludf.DUMMYFUNCTION("""COMPUTED_VALUE"""),0.388)</f>
        <v>0.388</v>
      </c>
      <c r="H716" s="23"/>
      <c r="J716" s="22"/>
    </row>
    <row r="717">
      <c r="A717" s="24">
        <f>IFERROR(__xludf.DUMMYFUNCTION("""COMPUTED_VALUE"""),45277.0)</f>
        <v>45277</v>
      </c>
      <c r="B717" s="20">
        <f>IFERROR(__xludf.DUMMYFUNCTION("""COMPUTED_VALUE"""),0.7094666666666666)</f>
        <v>0.7094666667</v>
      </c>
      <c r="C717" s="21">
        <f>IFERROR(__xludf.DUMMYFUNCTION("""COMPUTED_VALUE"""),0.611)</f>
        <v>0.611</v>
      </c>
      <c r="D717" s="25">
        <f>IFERROR(__xludf.DUMMYFUNCTION("""COMPUTED_VALUE"""),0.7846)</f>
        <v>0.7846</v>
      </c>
      <c r="E717" s="20">
        <f>IFERROR(__xludf.DUMMYFUNCTION("""COMPUTED_VALUE"""),0.3772514285714285)</f>
        <v>0.3772514286</v>
      </c>
      <c r="F717" s="20">
        <f>IFERROR(__xludf.DUMMYFUNCTION("""COMPUTED_VALUE"""),0.3862061821428571)</f>
        <v>0.3862061821</v>
      </c>
      <c r="G717" s="20">
        <f>IFERROR(__xludf.DUMMYFUNCTION("""COMPUTED_VALUE"""),0.388)</f>
        <v>0.388</v>
      </c>
      <c r="H717" s="23"/>
      <c r="J717" s="22"/>
    </row>
    <row r="718">
      <c r="A718" s="24">
        <f>IFERROR(__xludf.DUMMYFUNCTION("""COMPUTED_VALUE"""),45278.0)</f>
        <v>45278</v>
      </c>
      <c r="B718" s="20">
        <f>IFERROR(__xludf.DUMMYFUNCTION("""COMPUTED_VALUE"""),0.7094666666666666)</f>
        <v>0.7094666667</v>
      </c>
      <c r="C718" s="21">
        <f>IFERROR(__xludf.DUMMYFUNCTION("""COMPUTED_VALUE"""),0.611)</f>
        <v>0.611</v>
      </c>
      <c r="D718" s="25">
        <f>IFERROR(__xludf.DUMMYFUNCTION("""COMPUTED_VALUE"""),0.7846)</f>
        <v>0.7846</v>
      </c>
      <c r="E718" s="20">
        <f>IFERROR(__xludf.DUMMYFUNCTION("""COMPUTED_VALUE"""),0.3679271428571429)</f>
        <v>0.3679271429</v>
      </c>
      <c r="F718" s="20">
        <f>IFERROR(__xludf.DUMMYFUNCTION("""COMPUTED_VALUE"""),0.3847941642857142)</f>
        <v>0.3847941643</v>
      </c>
      <c r="G718" s="20">
        <f>IFERROR(__xludf.DUMMYFUNCTION("""COMPUTED_VALUE"""),0.388)</f>
        <v>0.388</v>
      </c>
      <c r="H718" s="23"/>
      <c r="J718" s="22"/>
    </row>
    <row r="719">
      <c r="A719" s="24">
        <f>IFERROR(__xludf.DUMMYFUNCTION("""COMPUTED_VALUE"""),45279.0)</f>
        <v>45279</v>
      </c>
      <c r="B719" s="20">
        <f>IFERROR(__xludf.DUMMYFUNCTION("""COMPUTED_VALUE"""),0.7094666666666666)</f>
        <v>0.7094666667</v>
      </c>
      <c r="C719" s="21">
        <f>IFERROR(__xludf.DUMMYFUNCTION("""COMPUTED_VALUE"""),0.611)</f>
        <v>0.611</v>
      </c>
      <c r="D719" s="25">
        <f>IFERROR(__xludf.DUMMYFUNCTION("""COMPUTED_VALUE"""),0.7846)</f>
        <v>0.7846</v>
      </c>
      <c r="E719" s="20">
        <f>IFERROR(__xludf.DUMMYFUNCTION("""COMPUTED_VALUE"""),0.3670864285714286)</f>
        <v>0.3670864286</v>
      </c>
      <c r="F719" s="20">
        <f>IFERROR(__xludf.DUMMYFUNCTION("""COMPUTED_VALUE"""),0.3821329214285714)</f>
        <v>0.3821329214</v>
      </c>
      <c r="G719" s="20">
        <f>IFERROR(__xludf.DUMMYFUNCTION("""COMPUTED_VALUE"""),0.388)</f>
        <v>0.388</v>
      </c>
      <c r="H719" s="23"/>
      <c r="J719" s="22"/>
    </row>
    <row r="720">
      <c r="A720" s="24">
        <f>IFERROR(__xludf.DUMMYFUNCTION("""COMPUTED_VALUE"""),45280.0)</f>
        <v>45280</v>
      </c>
      <c r="B720" s="20">
        <f>IFERROR(__xludf.DUMMYFUNCTION("""COMPUTED_VALUE"""),0.7094666666666666)</f>
        <v>0.7094666667</v>
      </c>
      <c r="C720" s="21">
        <f>IFERROR(__xludf.DUMMYFUNCTION("""COMPUTED_VALUE"""),0.611)</f>
        <v>0.611</v>
      </c>
      <c r="D720" s="25">
        <f>IFERROR(__xludf.DUMMYFUNCTION("""COMPUTED_VALUE"""),0.7846)</f>
        <v>0.7846</v>
      </c>
      <c r="E720" s="20">
        <f>IFERROR(__xludf.DUMMYFUNCTION("""COMPUTED_VALUE"""),0.3649464285714285)</f>
        <v>0.3649464286</v>
      </c>
      <c r="F720" s="20">
        <f>IFERROR(__xludf.DUMMYFUNCTION("""COMPUTED_VALUE"""),0.378937825)</f>
        <v>0.378937825</v>
      </c>
      <c r="G720" s="20">
        <f>IFERROR(__xludf.DUMMYFUNCTION("""COMPUTED_VALUE"""),0.388)</f>
        <v>0.388</v>
      </c>
      <c r="H720" s="23"/>
      <c r="J720" s="22"/>
    </row>
    <row r="721">
      <c r="A721" s="24">
        <f>IFERROR(__xludf.DUMMYFUNCTION("""COMPUTED_VALUE"""),45281.0)</f>
        <v>45281</v>
      </c>
      <c r="B721" s="20">
        <f>IFERROR(__xludf.DUMMYFUNCTION("""COMPUTED_VALUE"""),0.7094666666666666)</f>
        <v>0.7094666667</v>
      </c>
      <c r="C721" s="21">
        <f>IFERROR(__xludf.DUMMYFUNCTION("""COMPUTED_VALUE"""),0.611)</f>
        <v>0.611</v>
      </c>
      <c r="D721" s="25">
        <f>IFERROR(__xludf.DUMMYFUNCTION("""COMPUTED_VALUE"""),0.7846)</f>
        <v>0.7846</v>
      </c>
      <c r="E721" s="20">
        <f>IFERROR(__xludf.DUMMYFUNCTION("""COMPUTED_VALUE"""),0.3622714285714285)</f>
        <v>0.3622714286</v>
      </c>
      <c r="F721" s="20">
        <f>IFERROR(__xludf.DUMMYFUNCTION("""COMPUTED_VALUE"""),0.37780553571428566)</f>
        <v>0.3778055357</v>
      </c>
      <c r="G721" s="20">
        <f>IFERROR(__xludf.DUMMYFUNCTION("""COMPUTED_VALUE"""),0.388)</f>
        <v>0.388</v>
      </c>
      <c r="H721" s="23"/>
      <c r="J721" s="22"/>
    </row>
    <row r="722">
      <c r="A722" s="24">
        <f>IFERROR(__xludf.DUMMYFUNCTION("""COMPUTED_VALUE"""),45282.0)</f>
        <v>45282</v>
      </c>
      <c r="B722" s="20">
        <f>IFERROR(__xludf.DUMMYFUNCTION("""COMPUTED_VALUE"""),0.7094666666666666)</f>
        <v>0.7094666667</v>
      </c>
      <c r="C722" s="21">
        <f>IFERROR(__xludf.DUMMYFUNCTION("""COMPUTED_VALUE"""),0.611)</f>
        <v>0.611</v>
      </c>
      <c r="D722" s="25">
        <f>IFERROR(__xludf.DUMMYFUNCTION("""COMPUTED_VALUE"""),0.7846)</f>
        <v>0.7846</v>
      </c>
      <c r="E722" s="20">
        <f>IFERROR(__xludf.DUMMYFUNCTION("""COMPUTED_VALUE"""),0.35845)</f>
        <v>0.35845</v>
      </c>
      <c r="F722" s="20">
        <f>IFERROR(__xludf.DUMMYFUNCTION("""COMPUTED_VALUE"""),0.3791334821428571)</f>
        <v>0.3791334821</v>
      </c>
      <c r="G722" s="20">
        <f>IFERROR(__xludf.DUMMYFUNCTION("""COMPUTED_VALUE"""),0.388)</f>
        <v>0.388</v>
      </c>
      <c r="H722" s="23"/>
      <c r="J722" s="22"/>
    </row>
    <row r="723">
      <c r="A723" s="24">
        <f>IFERROR(__xludf.DUMMYFUNCTION("""COMPUTED_VALUE"""),45283.0)</f>
        <v>45283</v>
      </c>
      <c r="B723" s="20">
        <f>IFERROR(__xludf.DUMMYFUNCTION("""COMPUTED_VALUE"""),0.7094666666666666)</f>
        <v>0.7094666667</v>
      </c>
      <c r="C723" s="21">
        <f>IFERROR(__xludf.DUMMYFUNCTION("""COMPUTED_VALUE"""),0.611)</f>
        <v>0.611</v>
      </c>
      <c r="D723" s="25">
        <f>IFERROR(__xludf.DUMMYFUNCTION("""COMPUTED_VALUE"""),0.7846)</f>
        <v>0.7846</v>
      </c>
      <c r="E723" s="20">
        <f>IFERROR(__xludf.DUMMYFUNCTION("""COMPUTED_VALUE"""),0.3602842857142857)</f>
        <v>0.3602842857</v>
      </c>
      <c r="F723" s="20">
        <f>IFERROR(__xludf.DUMMYFUNCTION("""COMPUTED_VALUE"""),0.3804614285714285)</f>
        <v>0.3804614286</v>
      </c>
      <c r="G723" s="20">
        <f>IFERROR(__xludf.DUMMYFUNCTION("""COMPUTED_VALUE"""),0.388)</f>
        <v>0.388</v>
      </c>
      <c r="H723" s="23"/>
      <c r="J723" s="22"/>
    </row>
    <row r="724">
      <c r="A724" s="24">
        <f>IFERROR(__xludf.DUMMYFUNCTION("""COMPUTED_VALUE"""),45284.0)</f>
        <v>45284</v>
      </c>
      <c r="B724" s="20">
        <f>IFERROR(__xludf.DUMMYFUNCTION("""COMPUTED_VALUE"""),0.7094666666666666)</f>
        <v>0.7094666667</v>
      </c>
      <c r="C724" s="21">
        <f>IFERROR(__xludf.DUMMYFUNCTION("""COMPUTED_VALUE"""),0.611)</f>
        <v>0.611</v>
      </c>
      <c r="D724" s="25">
        <f>IFERROR(__xludf.DUMMYFUNCTION("""COMPUTED_VALUE"""),0.7846)</f>
        <v>0.7846</v>
      </c>
      <c r="E724" s="20">
        <f>IFERROR(__xludf.DUMMYFUNCTION("""COMPUTED_VALUE"""),0.36211857142857146)</f>
        <v>0.3621185714</v>
      </c>
      <c r="F724" s="20">
        <f>IFERROR(__xludf.DUMMYFUNCTION("""COMPUTED_VALUE"""),0.38178937499999993)</f>
        <v>0.381789375</v>
      </c>
      <c r="G724" s="20">
        <f>IFERROR(__xludf.DUMMYFUNCTION("""COMPUTED_VALUE"""),0.388)</f>
        <v>0.388</v>
      </c>
      <c r="H724" s="23"/>
      <c r="J724" s="22"/>
    </row>
    <row r="725">
      <c r="A725" s="24">
        <f>IFERROR(__xludf.DUMMYFUNCTION("""COMPUTED_VALUE"""),45285.0)</f>
        <v>45285</v>
      </c>
      <c r="B725" s="20">
        <f>IFERROR(__xludf.DUMMYFUNCTION("""COMPUTED_VALUE"""),0.7094666666666666)</f>
        <v>0.7094666667</v>
      </c>
      <c r="C725" s="21">
        <f>IFERROR(__xludf.DUMMYFUNCTION("""COMPUTED_VALUE"""),0.611)</f>
        <v>0.611</v>
      </c>
      <c r="D725" s="25">
        <f>IFERROR(__xludf.DUMMYFUNCTION("""COMPUTED_VALUE"""),0.7846)</f>
        <v>0.7846</v>
      </c>
      <c r="E725" s="20">
        <f>IFERROR(__xludf.DUMMYFUNCTION("""COMPUTED_VALUE"""),0.36166000000000004)</f>
        <v>0.36166</v>
      </c>
      <c r="F725" s="20">
        <f>IFERROR(__xludf.DUMMYFUNCTION("""COMPUTED_VALUE"""),0.3804514928571428)</f>
        <v>0.3804514929</v>
      </c>
      <c r="G725" s="20">
        <f>IFERROR(__xludf.DUMMYFUNCTION("""COMPUTED_VALUE"""),0.388)</f>
        <v>0.388</v>
      </c>
      <c r="H725" s="23"/>
      <c r="J725" s="22"/>
    </row>
    <row r="726">
      <c r="A726" s="24">
        <f>IFERROR(__xludf.DUMMYFUNCTION("""COMPUTED_VALUE"""),45286.0)</f>
        <v>45286</v>
      </c>
      <c r="B726" s="20">
        <f>IFERROR(__xludf.DUMMYFUNCTION("""COMPUTED_VALUE"""),0.7094666666666666)</f>
        <v>0.7094666667</v>
      </c>
      <c r="C726" s="21">
        <f>IFERROR(__xludf.DUMMYFUNCTION("""COMPUTED_VALUE"""),0.611)</f>
        <v>0.611</v>
      </c>
      <c r="D726" s="25">
        <f>IFERROR(__xludf.DUMMYFUNCTION("""COMPUTED_VALUE"""),0.7846)</f>
        <v>0.7846</v>
      </c>
      <c r="E726" s="20">
        <f>IFERROR(__xludf.DUMMYFUNCTION("""COMPUTED_VALUE"""),0.3553928571428572)</f>
        <v>0.3553928571</v>
      </c>
      <c r="F726" s="20">
        <f>IFERROR(__xludf.DUMMYFUNCTION("""COMPUTED_VALUE"""),0.3823541821428571)</f>
        <v>0.3823541821</v>
      </c>
      <c r="G726" s="20">
        <f>IFERROR(__xludf.DUMMYFUNCTION("""COMPUTED_VALUE"""),0.388)</f>
        <v>0.388</v>
      </c>
      <c r="H726" s="23"/>
      <c r="J726" s="22"/>
    </row>
    <row r="727">
      <c r="A727" s="24">
        <f>IFERROR(__xludf.DUMMYFUNCTION("""COMPUTED_VALUE"""),45287.0)</f>
        <v>45287</v>
      </c>
      <c r="B727" s="20">
        <f>IFERROR(__xludf.DUMMYFUNCTION("""COMPUTED_VALUE"""),0.7094666666666666)</f>
        <v>0.7094666667</v>
      </c>
      <c r="C727" s="21">
        <f>IFERROR(__xludf.DUMMYFUNCTION("""COMPUTED_VALUE"""),0.611)</f>
        <v>0.611</v>
      </c>
      <c r="D727" s="25">
        <f>IFERROR(__xludf.DUMMYFUNCTION("""COMPUTED_VALUE"""),0.7846)</f>
        <v>0.7846</v>
      </c>
      <c r="E727" s="20">
        <f>IFERROR(__xludf.DUMMYFUNCTION("""COMPUTED_VALUE"""),0.3531)</f>
        <v>0.3531</v>
      </c>
      <c r="F727" s="20">
        <f>IFERROR(__xludf.DUMMYFUNCTION("""COMPUTED_VALUE"""),0.3847586249999999)</f>
        <v>0.384758625</v>
      </c>
      <c r="G727" s="20">
        <f>IFERROR(__xludf.DUMMYFUNCTION("""COMPUTED_VALUE"""),0.388)</f>
        <v>0.388</v>
      </c>
      <c r="H727" s="23"/>
      <c r="J727" s="22"/>
    </row>
    <row r="728">
      <c r="A728" s="24">
        <f>IFERROR(__xludf.DUMMYFUNCTION("""COMPUTED_VALUE"""),45288.0)</f>
        <v>45288</v>
      </c>
      <c r="B728" s="20">
        <f>IFERROR(__xludf.DUMMYFUNCTION("""COMPUTED_VALUE"""),0.7094666666666666)</f>
        <v>0.7094666667</v>
      </c>
      <c r="C728" s="21">
        <f>IFERROR(__xludf.DUMMYFUNCTION("""COMPUTED_VALUE"""),0.611)</f>
        <v>0.611</v>
      </c>
      <c r="D728" s="25">
        <f>IFERROR(__xludf.DUMMYFUNCTION("""COMPUTED_VALUE"""),0.7846)</f>
        <v>0.7846</v>
      </c>
      <c r="E728" s="20">
        <f>IFERROR(__xludf.DUMMYFUNCTION("""COMPUTED_VALUE"""),0.3514185714285714)</f>
        <v>0.3514185714</v>
      </c>
      <c r="F728" s="20">
        <f>IFERROR(__xludf.DUMMYFUNCTION("""COMPUTED_VALUE"""),0.38588174285714283)</f>
        <v>0.3858817429</v>
      </c>
      <c r="G728" s="20">
        <f>IFERROR(__xludf.DUMMYFUNCTION("""COMPUTED_VALUE"""),0.388)</f>
        <v>0.388</v>
      </c>
      <c r="H728" s="23"/>
      <c r="J728" s="22"/>
    </row>
    <row r="729">
      <c r="A729" s="24">
        <f>IFERROR(__xludf.DUMMYFUNCTION("""COMPUTED_VALUE"""),45289.0)</f>
        <v>45289</v>
      </c>
      <c r="B729" s="20">
        <f>IFERROR(__xludf.DUMMYFUNCTION("""COMPUTED_VALUE"""),0.7094666666666666)</f>
        <v>0.7094666667</v>
      </c>
      <c r="C729" s="21">
        <f>IFERROR(__xludf.DUMMYFUNCTION("""COMPUTED_VALUE"""),0.611)</f>
        <v>0.611</v>
      </c>
      <c r="D729" s="25">
        <f>IFERROR(__xludf.DUMMYFUNCTION("""COMPUTED_VALUE"""),0.7846)</f>
        <v>0.7846</v>
      </c>
      <c r="E729" s="20">
        <f>IFERROR(__xludf.DUMMYFUNCTION("""COMPUTED_VALUE"""),0.3492021428571429)</f>
        <v>0.3492021429</v>
      </c>
      <c r="F729" s="20">
        <f>IFERROR(__xludf.DUMMYFUNCTION("""COMPUTED_VALUE"""),0.3843149571428571)</f>
        <v>0.3843149571</v>
      </c>
      <c r="G729" s="20">
        <f>IFERROR(__xludf.DUMMYFUNCTION("""COMPUTED_VALUE"""),0.388)</f>
        <v>0.388</v>
      </c>
      <c r="H729" s="23"/>
      <c r="J729" s="22"/>
    </row>
    <row r="730">
      <c r="A730" s="24">
        <f>IFERROR(__xludf.DUMMYFUNCTION("""COMPUTED_VALUE"""),45290.0)</f>
        <v>45290</v>
      </c>
      <c r="B730" s="20">
        <f>IFERROR(__xludf.DUMMYFUNCTION("""COMPUTED_VALUE"""),0.7094666666666666)</f>
        <v>0.7094666667</v>
      </c>
      <c r="C730" s="21">
        <f>IFERROR(__xludf.DUMMYFUNCTION("""COMPUTED_VALUE"""),0.611)</f>
        <v>0.611</v>
      </c>
      <c r="D730" s="25">
        <f>IFERROR(__xludf.DUMMYFUNCTION("""COMPUTED_VALUE"""),0.7846)</f>
        <v>0.7846</v>
      </c>
      <c r="E730" s="20">
        <f>IFERROR(__xludf.DUMMYFUNCTION("""COMPUTED_VALUE"""),0.3479028571428571)</f>
        <v>0.3479028571</v>
      </c>
      <c r="F730" s="20">
        <f>IFERROR(__xludf.DUMMYFUNCTION("""COMPUTED_VALUE"""),0.38274817142857137)</f>
        <v>0.3827481714</v>
      </c>
      <c r="G730" s="20">
        <f>IFERROR(__xludf.DUMMYFUNCTION("""COMPUTED_VALUE"""),0.388)</f>
        <v>0.388</v>
      </c>
      <c r="H730" s="23"/>
      <c r="J730" s="22"/>
    </row>
    <row r="731">
      <c r="A731" s="24">
        <f>IFERROR(__xludf.DUMMYFUNCTION("""COMPUTED_VALUE"""),45291.0)</f>
        <v>45291</v>
      </c>
      <c r="B731" s="20">
        <f>IFERROR(__xludf.DUMMYFUNCTION("""COMPUTED_VALUE"""),0.7094666666666666)</f>
        <v>0.7094666667</v>
      </c>
      <c r="C731" s="21">
        <f>IFERROR(__xludf.DUMMYFUNCTION("""COMPUTED_VALUE"""),0.611)</f>
        <v>0.611</v>
      </c>
      <c r="D731" s="25">
        <f>IFERROR(__xludf.DUMMYFUNCTION("""COMPUTED_VALUE"""),0.7846)</f>
        <v>0.7846</v>
      </c>
      <c r="E731" s="20">
        <f>IFERROR(__xludf.DUMMYFUNCTION("""COMPUTED_VALUE"""),0.3466035714285714)</f>
        <v>0.3466035714</v>
      </c>
      <c r="F731" s="20">
        <f>IFERROR(__xludf.DUMMYFUNCTION("""COMPUTED_VALUE"""),0.38118138571428567)</f>
        <v>0.3811813857</v>
      </c>
      <c r="G731" s="20">
        <f>IFERROR(__xludf.DUMMYFUNCTION("""COMPUTED_VALUE"""),0.388)</f>
        <v>0.388</v>
      </c>
      <c r="H731" s="23"/>
      <c r="J731" s="22"/>
    </row>
    <row r="732">
      <c r="A732" s="24">
        <f>IFERROR(__xludf.DUMMYFUNCTION("""COMPUTED_VALUE"""),45292.0)</f>
        <v>45292</v>
      </c>
      <c r="B732" s="20">
        <f>IFERROR(__xludf.DUMMYFUNCTION("""COMPUTED_VALUE"""),0.7094666666666666)</f>
        <v>0.7094666667</v>
      </c>
      <c r="C732" s="21">
        <f>IFERROR(__xludf.DUMMYFUNCTION("""COMPUTED_VALUE"""),0.611)</f>
        <v>0.611</v>
      </c>
      <c r="D732" s="25">
        <f>IFERROR(__xludf.DUMMYFUNCTION("""COMPUTED_VALUE"""),0.7846)</f>
        <v>0.7846</v>
      </c>
      <c r="E732" s="20">
        <f>IFERROR(__xludf.DUMMYFUNCTION("""COMPUTED_VALUE"""),0.3453042857142857)</f>
        <v>0.3453042857</v>
      </c>
      <c r="F732" s="20">
        <f>IFERROR(__xludf.DUMMYFUNCTION("""COMPUTED_VALUE"""),0.37961459999999997)</f>
        <v>0.3796146</v>
      </c>
      <c r="G732" s="20"/>
      <c r="H732" s="23"/>
      <c r="J732" s="22"/>
    </row>
    <row r="733">
      <c r="A733" s="24">
        <f>IFERROR(__xludf.DUMMYFUNCTION("""COMPUTED_VALUE"""),45293.0)</f>
        <v>45293</v>
      </c>
      <c r="B733" s="20">
        <f>IFERROR(__xludf.DUMMYFUNCTION("""COMPUTED_VALUE"""),0.7094666666666666)</f>
        <v>0.7094666667</v>
      </c>
      <c r="C733" s="21">
        <f>IFERROR(__xludf.DUMMYFUNCTION("""COMPUTED_VALUE"""),0.611)</f>
        <v>0.611</v>
      </c>
      <c r="D733" s="25">
        <f>IFERROR(__xludf.DUMMYFUNCTION("""COMPUTED_VALUE"""),0.7846)</f>
        <v>0.7846</v>
      </c>
      <c r="E733" s="20">
        <f>IFERROR(__xludf.DUMMYFUNCTION("""COMPUTED_VALUE"""),0.3443107142857143)</f>
        <v>0.3443107143</v>
      </c>
      <c r="F733" s="20">
        <f>IFERROR(__xludf.DUMMYFUNCTION("""COMPUTED_VALUE"""),0.3761053821428571)</f>
        <v>0.3761053821</v>
      </c>
      <c r="G733" s="20"/>
      <c r="H733" s="23"/>
      <c r="J733" s="22"/>
    </row>
    <row r="734">
      <c r="A734" s="24">
        <f>IFERROR(__xludf.DUMMYFUNCTION("""COMPUTED_VALUE"""),45294.0)</f>
        <v>45294</v>
      </c>
      <c r="B734" s="20">
        <f>IFERROR(__xludf.DUMMYFUNCTION("""COMPUTED_VALUE"""),0.7094666666666666)</f>
        <v>0.7094666667</v>
      </c>
      <c r="C734" s="21">
        <f>IFERROR(__xludf.DUMMYFUNCTION("""COMPUTED_VALUE"""),0.611)</f>
        <v>0.611</v>
      </c>
      <c r="D734" s="25">
        <f>IFERROR(__xludf.DUMMYFUNCTION("""COMPUTED_VALUE"""),0.7846)</f>
        <v>0.7846</v>
      </c>
      <c r="E734" s="20">
        <f>IFERROR(__xludf.DUMMYFUNCTION("""COMPUTED_VALUE"""),0.3405657142857143)</f>
        <v>0.3405657143</v>
      </c>
      <c r="F734" s="20">
        <f>IFERROR(__xludf.DUMMYFUNCTION("""COMPUTED_VALUE"""),0.37335242499999993)</f>
        <v>0.373352425</v>
      </c>
      <c r="G734" s="20"/>
      <c r="H734" s="23"/>
      <c r="J734" s="22"/>
    </row>
    <row r="735">
      <c r="A735" s="24">
        <f>IFERROR(__xludf.DUMMYFUNCTION("""COMPUTED_VALUE"""),45295.0)</f>
        <v>45295</v>
      </c>
      <c r="B735" s="20">
        <f>IFERROR(__xludf.DUMMYFUNCTION("""COMPUTED_VALUE"""),0.7094666666666666)</f>
        <v>0.7094666667</v>
      </c>
      <c r="C735" s="21">
        <f>IFERROR(__xludf.DUMMYFUNCTION("""COMPUTED_VALUE"""),0.611)</f>
        <v>0.611</v>
      </c>
      <c r="D735" s="25">
        <f>IFERROR(__xludf.DUMMYFUNCTION("""COMPUTED_VALUE"""),0.7846)</f>
        <v>0.7846</v>
      </c>
      <c r="E735" s="20">
        <f>IFERROR(__xludf.DUMMYFUNCTION("""COMPUTED_VALUE"""),0.3365914285714286)</f>
        <v>0.3365914286</v>
      </c>
      <c r="F735" s="20">
        <f>IFERROR(__xludf.DUMMYFUNCTION("""COMPUTED_VALUE"""),0.3725354035714286)</f>
        <v>0.3725354036</v>
      </c>
      <c r="G735" s="20"/>
      <c r="H735" s="23"/>
      <c r="J735" s="22"/>
    </row>
    <row r="736">
      <c r="A736" s="24">
        <f>IFERROR(__xludf.DUMMYFUNCTION("""COMPUTED_VALUE"""),45296.0)</f>
        <v>45296</v>
      </c>
      <c r="B736" s="20">
        <f>IFERROR(__xludf.DUMMYFUNCTION("""COMPUTED_VALUE"""),0.7094666666666666)</f>
        <v>0.7094666667</v>
      </c>
      <c r="C736" s="21">
        <f>IFERROR(__xludf.DUMMYFUNCTION("""COMPUTED_VALUE"""),0.611)</f>
        <v>0.611</v>
      </c>
      <c r="D736" s="25">
        <f>IFERROR(__xludf.DUMMYFUNCTION("""COMPUTED_VALUE"""),0.7846)</f>
        <v>0.7846</v>
      </c>
      <c r="E736" s="20">
        <f>IFERROR(__xludf.DUMMYFUNCTION("""COMPUTED_VALUE"""),0.3379671428571428)</f>
        <v>0.3379671429</v>
      </c>
      <c r="F736" s="20">
        <f>IFERROR(__xludf.DUMMYFUNCTION("""COMPUTED_VALUE"""),0.3756089785714286)</f>
        <v>0.3756089786</v>
      </c>
      <c r="G736" s="20"/>
      <c r="H736" s="23"/>
      <c r="J736" s="22"/>
    </row>
    <row r="737">
      <c r="A737" s="24">
        <f>IFERROR(__xludf.DUMMYFUNCTION("""COMPUTED_VALUE"""),45297.0)</f>
        <v>45297</v>
      </c>
      <c r="B737" s="20">
        <f>IFERROR(__xludf.DUMMYFUNCTION("""COMPUTED_VALUE"""),0.7094666666666666)</f>
        <v>0.7094666667</v>
      </c>
      <c r="C737" s="21">
        <f>IFERROR(__xludf.DUMMYFUNCTION("""COMPUTED_VALUE"""),0.611)</f>
        <v>0.611</v>
      </c>
      <c r="D737" s="25">
        <f>IFERROR(__xludf.DUMMYFUNCTION("""COMPUTED_VALUE"""),0.7846)</f>
        <v>0.7846</v>
      </c>
      <c r="E737" s="20">
        <f>IFERROR(__xludf.DUMMYFUNCTION("""COMPUTED_VALUE"""),0.3414828571428571)</f>
        <v>0.3414828571</v>
      </c>
      <c r="F737" s="20">
        <f>IFERROR(__xludf.DUMMYFUNCTION("""COMPUTED_VALUE"""),0.3786825535714286)</f>
        <v>0.3786825536</v>
      </c>
      <c r="G737" s="20"/>
      <c r="H737" s="23"/>
      <c r="J737" s="22"/>
    </row>
    <row r="738">
      <c r="A738" s="24">
        <f>IFERROR(__xludf.DUMMYFUNCTION("""COMPUTED_VALUE"""),45298.0)</f>
        <v>45298</v>
      </c>
      <c r="B738" s="20">
        <f>IFERROR(__xludf.DUMMYFUNCTION("""COMPUTED_VALUE"""),0.7094666666666666)</f>
        <v>0.7094666667</v>
      </c>
      <c r="C738" s="21">
        <f>IFERROR(__xludf.DUMMYFUNCTION("""COMPUTED_VALUE"""),0.611)</f>
        <v>0.611</v>
      </c>
      <c r="D738" s="25">
        <f>IFERROR(__xludf.DUMMYFUNCTION("""COMPUTED_VALUE"""),0.7846)</f>
        <v>0.7846</v>
      </c>
      <c r="E738" s="20">
        <f>IFERROR(__xludf.DUMMYFUNCTION("""COMPUTED_VALUE"""),0.34499857142857143)</f>
        <v>0.3449985714</v>
      </c>
      <c r="F738" s="20">
        <f>IFERROR(__xludf.DUMMYFUNCTION("""COMPUTED_VALUE"""),0.38175612857142854)</f>
        <v>0.3817561286</v>
      </c>
      <c r="G738" s="20"/>
      <c r="H738" s="23"/>
      <c r="J738" s="22"/>
    </row>
    <row r="739">
      <c r="A739" s="24">
        <f>IFERROR(__xludf.DUMMYFUNCTION("""COMPUTED_VALUE"""),45299.0)</f>
        <v>45299</v>
      </c>
      <c r="B739" s="20">
        <f>IFERROR(__xludf.DUMMYFUNCTION("""COMPUTED_VALUE"""),0.6385888888888889)</f>
        <v>0.6385888889</v>
      </c>
      <c r="C739" s="21">
        <f>IFERROR(__xludf.DUMMYFUNCTION("""COMPUTED_VALUE"""),0.5445)</f>
        <v>0.5445</v>
      </c>
      <c r="D739" s="25">
        <f>IFERROR(__xludf.DUMMYFUNCTION("""COMPUTED_VALUE"""),0.7519)</f>
        <v>0.7519</v>
      </c>
      <c r="E739" s="20">
        <f>IFERROR(__xludf.DUMMYFUNCTION("""COMPUTED_VALUE"""),0.350425)</f>
        <v>0.350425</v>
      </c>
      <c r="F739" s="20">
        <f>IFERROR(__xludf.DUMMYFUNCTION("""COMPUTED_VALUE"""),0.38062804285714286)</f>
        <v>0.3806280429</v>
      </c>
      <c r="G739" s="20"/>
      <c r="H739" s="23"/>
      <c r="J739" s="22"/>
    </row>
    <row r="740">
      <c r="A740" s="24">
        <f>IFERROR(__xludf.DUMMYFUNCTION("""COMPUTED_VALUE"""),45300.0)</f>
        <v>45300</v>
      </c>
      <c r="B740" s="20">
        <f>IFERROR(__xludf.DUMMYFUNCTION("""COMPUTED_VALUE"""),0.6385888888888889)</f>
        <v>0.6385888889</v>
      </c>
      <c r="C740" s="21">
        <f>IFERROR(__xludf.DUMMYFUNCTION("""COMPUTED_VALUE"""),0.5445)</f>
        <v>0.5445</v>
      </c>
      <c r="D740" s="25">
        <f>IFERROR(__xludf.DUMMYFUNCTION("""COMPUTED_VALUE"""),0.7519)</f>
        <v>0.7519</v>
      </c>
      <c r="E740" s="20">
        <f>IFERROR(__xludf.DUMMYFUNCTION("""COMPUTED_VALUE"""),0.3521064285714286)</f>
        <v>0.3521064286</v>
      </c>
      <c r="F740" s="20">
        <f>IFERROR(__xludf.DUMMYFUNCTION("""COMPUTED_VALUE"""),0.3802974892857143)</f>
        <v>0.3802974893</v>
      </c>
      <c r="G740" s="20"/>
      <c r="H740" s="23"/>
      <c r="J740" s="22"/>
    </row>
    <row r="741">
      <c r="A741" s="24">
        <f>IFERROR(__xludf.DUMMYFUNCTION("""COMPUTED_VALUE"""),45301.0)</f>
        <v>45301</v>
      </c>
      <c r="B741" s="20">
        <f>IFERROR(__xludf.DUMMYFUNCTION("""COMPUTED_VALUE"""),0.6385888888888889)</f>
        <v>0.6385888889</v>
      </c>
      <c r="C741" s="21">
        <f>IFERROR(__xludf.DUMMYFUNCTION("""COMPUTED_VALUE"""),0.5445)</f>
        <v>0.5445</v>
      </c>
      <c r="D741" s="25">
        <f>IFERROR(__xludf.DUMMYFUNCTION("""COMPUTED_VALUE"""),0.7519)</f>
        <v>0.7519</v>
      </c>
      <c r="E741" s="20">
        <f>IFERROR(__xludf.DUMMYFUNCTION("""COMPUTED_VALUE"""),0.3556985714285714)</f>
        <v>0.3556985714</v>
      </c>
      <c r="F741" s="20">
        <f>IFERROR(__xludf.DUMMYFUNCTION("""COMPUTED_VALUE"""),0.37794998571428573)</f>
        <v>0.3779499857</v>
      </c>
      <c r="G741" s="20"/>
      <c r="H741" s="23"/>
      <c r="J741" s="22"/>
    </row>
    <row r="742">
      <c r="A742" s="24">
        <f>IFERROR(__xludf.DUMMYFUNCTION("""COMPUTED_VALUE"""),45302.0)</f>
        <v>45302</v>
      </c>
      <c r="B742" s="20">
        <f>IFERROR(__xludf.DUMMYFUNCTION("""COMPUTED_VALUE"""),0.6385888888888889)</f>
        <v>0.6385888889</v>
      </c>
      <c r="C742" s="21">
        <f>IFERROR(__xludf.DUMMYFUNCTION("""COMPUTED_VALUE"""),0.5445)</f>
        <v>0.5445</v>
      </c>
      <c r="D742" s="25">
        <f>IFERROR(__xludf.DUMMYFUNCTION("""COMPUTED_VALUE"""),0.7519)</f>
        <v>0.7519</v>
      </c>
      <c r="E742" s="20">
        <f>IFERROR(__xludf.DUMMYFUNCTION("""COMPUTED_VALUE"""),0.3590614285714286)</f>
        <v>0.3590614286</v>
      </c>
      <c r="F742" s="20">
        <f>IFERROR(__xludf.DUMMYFUNCTION("""COMPUTED_VALUE"""),0.3742630714285714)</f>
        <v>0.3742630714</v>
      </c>
      <c r="G742" s="20"/>
      <c r="H742" s="23"/>
      <c r="J742" s="22"/>
    </row>
    <row r="743">
      <c r="A743" s="24">
        <f>IFERROR(__xludf.DUMMYFUNCTION("""COMPUTED_VALUE"""),45303.0)</f>
        <v>45303</v>
      </c>
      <c r="B743" s="20">
        <f>IFERROR(__xludf.DUMMYFUNCTION("""COMPUTED_VALUE"""),0.6385888888888889)</f>
        <v>0.6385888889</v>
      </c>
      <c r="C743" s="21">
        <f>IFERROR(__xludf.DUMMYFUNCTION("""COMPUTED_VALUE"""),0.5445)</f>
        <v>0.5445</v>
      </c>
      <c r="D743" s="25">
        <f>IFERROR(__xludf.DUMMYFUNCTION("""COMPUTED_VALUE"""),0.7519)</f>
        <v>0.7519</v>
      </c>
      <c r="E743" s="20">
        <f>IFERROR(__xludf.DUMMYFUNCTION("""COMPUTED_VALUE"""),0.35822071428571434)</f>
        <v>0.3582207143</v>
      </c>
      <c r="F743" s="20">
        <f>IFERROR(__xludf.DUMMYFUNCTION("""COMPUTED_VALUE"""),0.3706896535714286)</f>
        <v>0.3706896536</v>
      </c>
      <c r="G743" s="20"/>
      <c r="H743" s="23"/>
      <c r="J743" s="22"/>
    </row>
    <row r="744">
      <c r="A744" s="24">
        <f>IFERROR(__xludf.DUMMYFUNCTION("""COMPUTED_VALUE"""),45304.0)</f>
        <v>45304</v>
      </c>
      <c r="B744" s="20">
        <f>IFERROR(__xludf.DUMMYFUNCTION("""COMPUTED_VALUE"""),0.6385888888888889)</f>
        <v>0.6385888889</v>
      </c>
      <c r="C744" s="21">
        <f>IFERROR(__xludf.DUMMYFUNCTION("""COMPUTED_VALUE"""),0.5445)</f>
        <v>0.5445</v>
      </c>
      <c r="D744" s="25">
        <f>IFERROR(__xludf.DUMMYFUNCTION("""COMPUTED_VALUE"""),0.7519)</f>
        <v>0.7519</v>
      </c>
      <c r="E744" s="20">
        <f>IFERROR(__xludf.DUMMYFUNCTION("""COMPUTED_VALUE"""),0.35554571428571424)</f>
        <v>0.3555457143</v>
      </c>
      <c r="F744" s="20">
        <f>IFERROR(__xludf.DUMMYFUNCTION("""COMPUTED_VALUE"""),0.3671162357142857)</f>
        <v>0.3671162357</v>
      </c>
      <c r="G744" s="20"/>
      <c r="H744" s="23"/>
      <c r="J744" s="22"/>
    </row>
    <row r="745">
      <c r="A745" s="24">
        <f>IFERROR(__xludf.DUMMYFUNCTION("""COMPUTED_VALUE"""),45305.0)</f>
        <v>45305</v>
      </c>
      <c r="B745" s="20">
        <f>IFERROR(__xludf.DUMMYFUNCTION("""COMPUTED_VALUE"""),0.6385888888888889)</f>
        <v>0.6385888889</v>
      </c>
      <c r="C745" s="21">
        <f>IFERROR(__xludf.DUMMYFUNCTION("""COMPUTED_VALUE"""),0.5445)</f>
        <v>0.5445</v>
      </c>
      <c r="D745" s="25">
        <f>IFERROR(__xludf.DUMMYFUNCTION("""COMPUTED_VALUE"""),0.7519)</f>
        <v>0.7519</v>
      </c>
      <c r="E745" s="20">
        <f>IFERROR(__xludf.DUMMYFUNCTION("""COMPUTED_VALUE"""),0.35287071428571426)</f>
        <v>0.3528707143</v>
      </c>
      <c r="F745" s="20">
        <f>IFERROR(__xludf.DUMMYFUNCTION("""COMPUTED_VALUE"""),0.3635428178571429)</f>
        <v>0.3635428179</v>
      </c>
      <c r="G745" s="20"/>
      <c r="H745" s="23"/>
      <c r="J745" s="22"/>
    </row>
    <row r="746">
      <c r="A746" s="24">
        <f>IFERROR(__xludf.DUMMYFUNCTION("""COMPUTED_VALUE"""),45306.0)</f>
        <v>45306</v>
      </c>
      <c r="B746" s="20">
        <f>IFERROR(__xludf.DUMMYFUNCTION("""COMPUTED_VALUE"""),0.6385888888888889)</f>
        <v>0.6385888889</v>
      </c>
      <c r="C746" s="21">
        <f>IFERROR(__xludf.DUMMYFUNCTION("""COMPUTED_VALUE"""),0.5445)</f>
        <v>0.5445</v>
      </c>
      <c r="D746" s="25">
        <f>IFERROR(__xludf.DUMMYFUNCTION("""COMPUTED_VALUE"""),0.7519)</f>
        <v>0.7519</v>
      </c>
      <c r="E746" s="20">
        <f>IFERROR(__xludf.DUMMYFUNCTION("""COMPUTED_VALUE"""),0.34889642857142855)</f>
        <v>0.3488964286</v>
      </c>
      <c r="F746" s="20">
        <f>IFERROR(__xludf.DUMMYFUNCTION("""COMPUTED_VALUE"""),0.36143262500000006)</f>
        <v>0.361432625</v>
      </c>
      <c r="G746" s="20"/>
      <c r="H746" s="23"/>
      <c r="J746" s="22"/>
    </row>
    <row r="747">
      <c r="A747" s="24">
        <f>IFERROR(__xludf.DUMMYFUNCTION("""COMPUTED_VALUE"""),45307.0)</f>
        <v>45307</v>
      </c>
      <c r="B747" s="20">
        <f>IFERROR(__xludf.DUMMYFUNCTION("""COMPUTED_VALUE"""),0.6385888888888889)</f>
        <v>0.6385888889</v>
      </c>
      <c r="C747" s="21">
        <f>IFERROR(__xludf.DUMMYFUNCTION("""COMPUTED_VALUE"""),0.5445)</f>
        <v>0.5445</v>
      </c>
      <c r="D747" s="25">
        <f>IFERROR(__xludf.DUMMYFUNCTION("""COMPUTED_VALUE"""),0.7519)</f>
        <v>0.7519</v>
      </c>
      <c r="E747" s="20">
        <f>IFERROR(__xludf.DUMMYFUNCTION("""COMPUTED_VALUE"""),0.34668)</f>
        <v>0.34668</v>
      </c>
      <c r="F747" s="20">
        <f>IFERROR(__xludf.DUMMYFUNCTION("""COMPUTED_VALUE"""),0.3601593250000001)</f>
        <v>0.360159325</v>
      </c>
      <c r="G747" s="20"/>
      <c r="H747" s="23"/>
      <c r="J747" s="22"/>
    </row>
    <row r="748">
      <c r="A748" s="24">
        <f>IFERROR(__xludf.DUMMYFUNCTION("""COMPUTED_VALUE"""),45308.0)</f>
        <v>45308</v>
      </c>
      <c r="B748" s="20">
        <f>IFERROR(__xludf.DUMMYFUNCTION("""COMPUTED_VALUE"""),0.6385888888888889)</f>
        <v>0.6385888889</v>
      </c>
      <c r="C748" s="21">
        <f>IFERROR(__xludf.DUMMYFUNCTION("""COMPUTED_VALUE"""),0.5445)</f>
        <v>0.5445</v>
      </c>
      <c r="D748" s="25">
        <f>IFERROR(__xludf.DUMMYFUNCTION("""COMPUTED_VALUE"""),0.7519)</f>
        <v>0.7519</v>
      </c>
      <c r="E748" s="20">
        <f>IFERROR(__xludf.DUMMYFUNCTION("""COMPUTED_VALUE"""),0.3446928571428571)</f>
        <v>0.3446928571</v>
      </c>
      <c r="F748" s="20">
        <f>IFERROR(__xludf.DUMMYFUNCTION("""COMPUTED_VALUE"""),0.35596454285714285)</f>
        <v>0.3559645429</v>
      </c>
      <c r="G748" s="20"/>
      <c r="H748" s="23"/>
      <c r="J748" s="22"/>
    </row>
    <row r="749">
      <c r="A749" s="24">
        <f>IFERROR(__xludf.DUMMYFUNCTION("""COMPUTED_VALUE"""),45309.0)</f>
        <v>45309</v>
      </c>
      <c r="B749" s="20">
        <f>IFERROR(__xludf.DUMMYFUNCTION("""COMPUTED_VALUE"""),0.6385888888888889)</f>
        <v>0.6385888889</v>
      </c>
      <c r="C749" s="21">
        <f>IFERROR(__xludf.DUMMYFUNCTION("""COMPUTED_VALUE"""),0.5445)</f>
        <v>0.5445</v>
      </c>
      <c r="D749" s="25">
        <f>IFERROR(__xludf.DUMMYFUNCTION("""COMPUTED_VALUE"""),0.7519)</f>
        <v>0.7519</v>
      </c>
      <c r="E749" s="20">
        <f>IFERROR(__xludf.DUMMYFUNCTION("""COMPUTED_VALUE"""),0.33598)</f>
        <v>0.33598</v>
      </c>
      <c r="F749" s="20">
        <f>IFERROR(__xludf.DUMMYFUNCTION("""COMPUTED_VALUE"""),0.35271709285714276)</f>
        <v>0.3527170929</v>
      </c>
      <c r="G749" s="20"/>
      <c r="H749" s="23"/>
      <c r="J749" s="22"/>
    </row>
    <row r="750">
      <c r="A750" s="24">
        <f>IFERROR(__xludf.DUMMYFUNCTION("""COMPUTED_VALUE"""),45310.0)</f>
        <v>45310</v>
      </c>
      <c r="B750" s="20">
        <f>IFERROR(__xludf.DUMMYFUNCTION("""COMPUTED_VALUE"""),0.6385888888888889)</f>
        <v>0.6385888889</v>
      </c>
      <c r="C750" s="21">
        <f>IFERROR(__xludf.DUMMYFUNCTION("""COMPUTED_VALUE"""),0.5445)</f>
        <v>0.5445</v>
      </c>
      <c r="D750" s="25">
        <f>IFERROR(__xludf.DUMMYFUNCTION("""COMPUTED_VALUE"""),0.7519)</f>
        <v>0.7519</v>
      </c>
      <c r="E750" s="20">
        <f>IFERROR(__xludf.DUMMYFUNCTION("""COMPUTED_VALUE"""),0.3310121428571428)</f>
        <v>0.3310121429</v>
      </c>
      <c r="F750" s="20">
        <f>IFERROR(__xludf.DUMMYFUNCTION("""COMPUTED_VALUE"""),0.34882917142857145)</f>
        <v>0.3488291714</v>
      </c>
      <c r="G750" s="20"/>
      <c r="H750" s="23"/>
      <c r="J750" s="22"/>
    </row>
    <row r="751">
      <c r="A751" s="24">
        <f>IFERROR(__xludf.DUMMYFUNCTION("""COMPUTED_VALUE"""),45311.0)</f>
        <v>45311</v>
      </c>
      <c r="B751" s="20">
        <f>IFERROR(__xludf.DUMMYFUNCTION("""COMPUTED_VALUE"""),0.6385888888888889)</f>
        <v>0.6385888889</v>
      </c>
      <c r="C751" s="21">
        <f>IFERROR(__xludf.DUMMYFUNCTION("""COMPUTED_VALUE"""),0.5445)</f>
        <v>0.5445</v>
      </c>
      <c r="D751" s="25">
        <f>IFERROR(__xludf.DUMMYFUNCTION("""COMPUTED_VALUE"""),0.7519)</f>
        <v>0.7519</v>
      </c>
      <c r="E751" s="20">
        <f>IFERROR(__xludf.DUMMYFUNCTION("""COMPUTED_VALUE"""),0.3265792857142857)</f>
        <v>0.3265792857</v>
      </c>
      <c r="F751" s="20">
        <f>IFERROR(__xludf.DUMMYFUNCTION("""COMPUTED_VALUE"""),0.34494125000000003)</f>
        <v>0.34494125</v>
      </c>
      <c r="G751" s="20"/>
      <c r="H751" s="23"/>
      <c r="J751" s="22"/>
    </row>
    <row r="752">
      <c r="A752" s="24">
        <f>IFERROR(__xludf.DUMMYFUNCTION("""COMPUTED_VALUE"""),45312.0)</f>
        <v>45312</v>
      </c>
      <c r="B752" s="20">
        <f>IFERROR(__xludf.DUMMYFUNCTION("""COMPUTED_VALUE"""),0.6385888888888889)</f>
        <v>0.6385888889</v>
      </c>
      <c r="C752" s="21">
        <f>IFERROR(__xludf.DUMMYFUNCTION("""COMPUTED_VALUE"""),0.5445)</f>
        <v>0.5445</v>
      </c>
      <c r="D752" s="25">
        <f>IFERROR(__xludf.DUMMYFUNCTION("""COMPUTED_VALUE"""),0.7519)</f>
        <v>0.7519</v>
      </c>
      <c r="E752" s="20">
        <f>IFERROR(__xludf.DUMMYFUNCTION("""COMPUTED_VALUE"""),0.32214642857142856)</f>
        <v>0.3221464286</v>
      </c>
      <c r="F752" s="20">
        <f>IFERROR(__xludf.DUMMYFUNCTION("""COMPUTED_VALUE"""),0.3410533285714285)</f>
        <v>0.3410533286</v>
      </c>
      <c r="G752" s="20"/>
      <c r="H752" s="23"/>
      <c r="J752" s="22"/>
    </row>
    <row r="753">
      <c r="A753" s="24">
        <f>IFERROR(__xludf.DUMMYFUNCTION("""COMPUTED_VALUE"""),45313.0)</f>
        <v>45313</v>
      </c>
      <c r="B753" s="20">
        <f>IFERROR(__xludf.DUMMYFUNCTION("""COMPUTED_VALUE"""),0.6385888888888889)</f>
        <v>0.6385888889</v>
      </c>
      <c r="C753" s="21">
        <f>IFERROR(__xludf.DUMMYFUNCTION("""COMPUTED_VALUE"""),0.5445)</f>
        <v>0.5445</v>
      </c>
      <c r="D753" s="25">
        <f>IFERROR(__xludf.DUMMYFUNCTION("""COMPUTED_VALUE"""),0.7519)</f>
        <v>0.7519</v>
      </c>
      <c r="E753" s="20">
        <f>IFERROR(__xludf.DUMMYFUNCTION("""COMPUTED_VALUE"""),0.31771357142857143)</f>
        <v>0.3177135714</v>
      </c>
      <c r="F753" s="20">
        <f>IFERROR(__xludf.DUMMYFUNCTION("""COMPUTED_VALUE"""),0.33876047142857135)</f>
        <v>0.3387604714</v>
      </c>
      <c r="G753" s="20"/>
      <c r="H753" s="23"/>
      <c r="J753" s="22"/>
    </row>
    <row r="754">
      <c r="A754" s="24">
        <f>IFERROR(__xludf.DUMMYFUNCTION("""COMPUTED_VALUE"""),45314.0)</f>
        <v>45314</v>
      </c>
      <c r="B754" s="20">
        <f>IFERROR(__xludf.DUMMYFUNCTION("""COMPUTED_VALUE"""),0.6385888888888889)</f>
        <v>0.6385888889</v>
      </c>
      <c r="C754" s="21">
        <f>IFERROR(__xludf.DUMMYFUNCTION("""COMPUTED_VALUE"""),0.5445)</f>
        <v>0.5445</v>
      </c>
      <c r="D754" s="25">
        <f>IFERROR(__xludf.DUMMYFUNCTION("""COMPUTED_VALUE"""),0.7519)</f>
        <v>0.7519</v>
      </c>
      <c r="E754" s="20">
        <f>IFERROR(__xludf.DUMMYFUNCTION("""COMPUTED_VALUE"""),0.31496214285714286)</f>
        <v>0.3149621429</v>
      </c>
      <c r="F754" s="20">
        <f>IFERROR(__xludf.DUMMYFUNCTION("""COMPUTED_VALUE"""),0.33733698928571426)</f>
        <v>0.3373369893</v>
      </c>
      <c r="G754" s="20"/>
      <c r="H754" s="23"/>
      <c r="J754" s="22"/>
    </row>
    <row r="755">
      <c r="A755" s="24">
        <f>IFERROR(__xludf.DUMMYFUNCTION("""COMPUTED_VALUE"""),45315.0)</f>
        <v>45315</v>
      </c>
      <c r="B755" s="20">
        <f>IFERROR(__xludf.DUMMYFUNCTION("""COMPUTED_VALUE"""),0.6385888888888889)</f>
        <v>0.6385888889</v>
      </c>
      <c r="C755" s="21">
        <f>IFERROR(__xludf.DUMMYFUNCTION("""COMPUTED_VALUE"""),0.5445)</f>
        <v>0.5445</v>
      </c>
      <c r="D755" s="25">
        <f>IFERROR(__xludf.DUMMYFUNCTION("""COMPUTED_VALUE"""),0.7519)</f>
        <v>0.7519</v>
      </c>
      <c r="E755" s="20">
        <f>IFERROR(__xludf.DUMMYFUNCTION("""COMPUTED_VALUE"""),0.311905)</f>
        <v>0.311905</v>
      </c>
      <c r="F755" s="20">
        <f>IFERROR(__xludf.DUMMYFUNCTION("""COMPUTED_VALUE"""),0.34059246428571427)</f>
        <v>0.3405924643</v>
      </c>
      <c r="G755" s="20"/>
      <c r="H755" s="23"/>
      <c r="J755" s="22"/>
    </row>
    <row r="756">
      <c r="A756" s="24">
        <f>IFERROR(__xludf.DUMMYFUNCTION("""COMPUTED_VALUE"""),45316.0)</f>
        <v>45316</v>
      </c>
      <c r="B756" s="20">
        <f>IFERROR(__xludf.DUMMYFUNCTION("""COMPUTED_VALUE"""),0.6385888888888889)</f>
        <v>0.6385888889</v>
      </c>
      <c r="C756" s="21">
        <f>IFERROR(__xludf.DUMMYFUNCTION("""COMPUTED_VALUE"""),0.5445)</f>
        <v>0.5445</v>
      </c>
      <c r="D756" s="25">
        <f>IFERROR(__xludf.DUMMYFUNCTION("""COMPUTED_VALUE"""),0.7519)</f>
        <v>0.7519</v>
      </c>
      <c r="E756" s="20">
        <f>IFERROR(__xludf.DUMMYFUNCTION("""COMPUTED_VALUE"""),0.3137392857142857)</f>
        <v>0.3137392857</v>
      </c>
      <c r="F756" s="20">
        <f>IFERROR(__xludf.DUMMYFUNCTION("""COMPUTED_VALUE"""),0.34156196071428574)</f>
        <v>0.3415619607</v>
      </c>
      <c r="G756" s="20"/>
      <c r="H756" s="23"/>
      <c r="J756" s="22"/>
    </row>
    <row r="757">
      <c r="A757" s="24">
        <f>IFERROR(__xludf.DUMMYFUNCTION("""COMPUTED_VALUE"""),45317.0)</f>
        <v>45317</v>
      </c>
      <c r="B757" s="20">
        <f>IFERROR(__xludf.DUMMYFUNCTION("""COMPUTED_VALUE"""),0.6385888888888889)</f>
        <v>0.6385888889</v>
      </c>
      <c r="C757" s="21">
        <f>IFERROR(__xludf.DUMMYFUNCTION("""COMPUTED_VALUE"""),0.5445)</f>
        <v>0.5445</v>
      </c>
      <c r="D757" s="25">
        <f>IFERROR(__xludf.DUMMYFUNCTION("""COMPUTED_VALUE"""),0.7519)</f>
        <v>0.7519</v>
      </c>
      <c r="E757" s="20">
        <f>IFERROR(__xludf.DUMMYFUNCTION("""COMPUTED_VALUE"""),0.31358642857142854)</f>
        <v>0.3135864286</v>
      </c>
      <c r="F757" s="20">
        <f>IFERROR(__xludf.DUMMYFUNCTION("""COMPUTED_VALUE"""),0.3418286964285714)</f>
        <v>0.3418286964</v>
      </c>
      <c r="G757" s="20"/>
      <c r="H757" s="23"/>
      <c r="J757" s="22"/>
    </row>
    <row r="758">
      <c r="A758" s="24">
        <f>IFERROR(__xludf.DUMMYFUNCTION("""COMPUTED_VALUE"""),45318.0)</f>
        <v>45318</v>
      </c>
      <c r="B758" s="20">
        <f>IFERROR(__xludf.DUMMYFUNCTION("""COMPUTED_VALUE"""),0.6385888888888889)</f>
        <v>0.6385888889</v>
      </c>
      <c r="C758" s="21">
        <f>IFERROR(__xludf.DUMMYFUNCTION("""COMPUTED_VALUE"""),0.5445)</f>
        <v>0.5445</v>
      </c>
      <c r="D758" s="25">
        <f>IFERROR(__xludf.DUMMYFUNCTION("""COMPUTED_VALUE"""),0.7519)</f>
        <v>0.7519</v>
      </c>
      <c r="E758" s="20">
        <f>IFERROR(__xludf.DUMMYFUNCTION("""COMPUTED_VALUE"""),0.3122107142857143)</f>
        <v>0.3122107143</v>
      </c>
      <c r="F758" s="20">
        <f>IFERROR(__xludf.DUMMYFUNCTION("""COMPUTED_VALUE"""),0.3420954321428571)</f>
        <v>0.3420954321</v>
      </c>
      <c r="G758" s="20"/>
      <c r="H758" s="23"/>
      <c r="J758" s="22"/>
    </row>
    <row r="759">
      <c r="A759" s="24">
        <f>IFERROR(__xludf.DUMMYFUNCTION("""COMPUTED_VALUE"""),45319.0)</f>
        <v>45319</v>
      </c>
      <c r="B759" s="20">
        <f>IFERROR(__xludf.DUMMYFUNCTION("""COMPUTED_VALUE"""),0.6385888888888889)</f>
        <v>0.6385888889</v>
      </c>
      <c r="C759" s="21">
        <f>IFERROR(__xludf.DUMMYFUNCTION("""COMPUTED_VALUE"""),0.5445)</f>
        <v>0.5445</v>
      </c>
      <c r="D759" s="25">
        <f>IFERROR(__xludf.DUMMYFUNCTION("""COMPUTED_VALUE"""),0.7519)</f>
        <v>0.7519</v>
      </c>
      <c r="E759" s="20">
        <f>IFERROR(__xludf.DUMMYFUNCTION("""COMPUTED_VALUE"""),0.310835)</f>
        <v>0.310835</v>
      </c>
      <c r="F759" s="20">
        <f>IFERROR(__xludf.DUMMYFUNCTION("""COMPUTED_VALUE"""),0.3423621678571428)</f>
        <v>0.3423621679</v>
      </c>
      <c r="G759" s="20"/>
      <c r="H759" s="23"/>
      <c r="J759" s="22"/>
    </row>
    <row r="760">
      <c r="A760" s="24">
        <f>IFERROR(__xludf.DUMMYFUNCTION("""COMPUTED_VALUE"""),45320.0)</f>
        <v>45320</v>
      </c>
      <c r="B760" s="20">
        <f>IFERROR(__xludf.DUMMYFUNCTION("""COMPUTED_VALUE"""),0.6071444444444444)</f>
        <v>0.6071444444</v>
      </c>
      <c r="C760" s="21">
        <f>IFERROR(__xludf.DUMMYFUNCTION("""COMPUTED_VALUE"""),0.5445)</f>
        <v>0.5445</v>
      </c>
      <c r="D760" s="25">
        <f>IFERROR(__xludf.DUMMYFUNCTION("""COMPUTED_VALUE"""),0.7044000000000001)</f>
        <v>0.7044</v>
      </c>
      <c r="E760" s="20">
        <f>IFERROR(__xludf.DUMMYFUNCTION("""COMPUTED_VALUE"""),0.31052928571428573)</f>
        <v>0.3105292857</v>
      </c>
      <c r="F760" s="20">
        <f>IFERROR(__xludf.DUMMYFUNCTION("""COMPUTED_VALUE"""),0.3438013178571428)</f>
        <v>0.3438013179</v>
      </c>
      <c r="G760" s="20"/>
      <c r="H760" s="23"/>
      <c r="J760" s="22"/>
    </row>
    <row r="761">
      <c r="A761" s="24">
        <f>IFERROR(__xludf.DUMMYFUNCTION("""COMPUTED_VALUE"""),45321.0)</f>
        <v>45321</v>
      </c>
      <c r="B761" s="20">
        <f>IFERROR(__xludf.DUMMYFUNCTION("""COMPUTED_VALUE"""),0.6071444444444444)</f>
        <v>0.6071444444</v>
      </c>
      <c r="C761" s="21">
        <f>IFERROR(__xludf.DUMMYFUNCTION("""COMPUTED_VALUE"""),0.5445)</f>
        <v>0.5445</v>
      </c>
      <c r="D761" s="25">
        <f>IFERROR(__xludf.DUMMYFUNCTION("""COMPUTED_VALUE"""),0.7044000000000001)</f>
        <v>0.7044</v>
      </c>
      <c r="E761" s="20">
        <f>IFERROR(__xludf.DUMMYFUNCTION("""COMPUTED_VALUE"""),0.3120578571428571)</f>
        <v>0.3120578571</v>
      </c>
      <c r="F761" s="20">
        <f>IFERROR(__xludf.DUMMYFUNCTION("""COMPUTED_VALUE"""),0.34612856785714285)</f>
        <v>0.3461285679</v>
      </c>
      <c r="G761" s="20"/>
      <c r="H761" s="23"/>
      <c r="J761" s="22"/>
    </row>
    <row r="762">
      <c r="A762" s="24">
        <f>IFERROR(__xludf.DUMMYFUNCTION("""COMPUTED_VALUE"""),45322.0)</f>
        <v>45322</v>
      </c>
      <c r="B762" s="20">
        <f>IFERROR(__xludf.DUMMYFUNCTION("""COMPUTED_VALUE"""),0.6071444444444444)</f>
        <v>0.6071444444</v>
      </c>
      <c r="C762" s="21">
        <f>IFERROR(__xludf.DUMMYFUNCTION("""COMPUTED_VALUE"""),0.5445)</f>
        <v>0.5445</v>
      </c>
      <c r="D762" s="25">
        <f>IFERROR(__xludf.DUMMYFUNCTION("""COMPUTED_VALUE"""),0.7044000000000001)</f>
        <v>0.7044</v>
      </c>
      <c r="E762" s="20">
        <f>IFERROR(__xludf.DUMMYFUNCTION("""COMPUTED_VALUE"""),0.3128985714285714)</f>
        <v>0.3128985714</v>
      </c>
      <c r="F762" s="20">
        <f>IFERROR(__xludf.DUMMYFUNCTION("""COMPUTED_VALUE"""),0.3474339678571428)</f>
        <v>0.3474339679</v>
      </c>
      <c r="G762" s="20"/>
      <c r="H762" s="23"/>
      <c r="J762" s="22"/>
    </row>
    <row r="763">
      <c r="A763" s="24">
        <f>IFERROR(__xludf.DUMMYFUNCTION("""COMPUTED_VALUE"""),45323.0)</f>
        <v>45323</v>
      </c>
      <c r="B763" s="20">
        <f>IFERROR(__xludf.DUMMYFUNCTION("""COMPUTED_VALUE"""),0.6071444444444444)</f>
        <v>0.6071444444</v>
      </c>
      <c r="C763" s="21">
        <f>IFERROR(__xludf.DUMMYFUNCTION("""COMPUTED_VALUE"""),0.5445)</f>
        <v>0.5445</v>
      </c>
      <c r="D763" s="25">
        <f>IFERROR(__xludf.DUMMYFUNCTION("""COMPUTED_VALUE"""),0.7044000000000001)</f>
        <v>0.7044</v>
      </c>
      <c r="E763" s="20">
        <f>IFERROR(__xludf.DUMMYFUNCTION("""COMPUTED_VALUE"""),0.3164142857142857)</f>
        <v>0.3164142857</v>
      </c>
      <c r="F763" s="20">
        <f>IFERROR(__xludf.DUMMYFUNCTION("""COMPUTED_VALUE"""),0.3492758964285714)</f>
        <v>0.3492758964</v>
      </c>
      <c r="G763" s="20"/>
      <c r="H763" s="23"/>
      <c r="J763" s="22"/>
    </row>
    <row r="764">
      <c r="A764" s="24">
        <f>IFERROR(__xludf.DUMMYFUNCTION("""COMPUTED_VALUE"""),45324.0)</f>
        <v>45324</v>
      </c>
      <c r="B764" s="20">
        <f>IFERROR(__xludf.DUMMYFUNCTION("""COMPUTED_VALUE"""),0.6071444444444444)</f>
        <v>0.6071444444</v>
      </c>
      <c r="C764" s="21">
        <f>IFERROR(__xludf.DUMMYFUNCTION("""COMPUTED_VALUE"""),0.5445)</f>
        <v>0.5445</v>
      </c>
      <c r="D764" s="25">
        <f>IFERROR(__xludf.DUMMYFUNCTION("""COMPUTED_VALUE"""),0.7044000000000001)</f>
        <v>0.7044</v>
      </c>
      <c r="E764" s="20">
        <f>IFERROR(__xludf.DUMMYFUNCTION("""COMPUTED_VALUE"""),0.31878357142857144)</f>
        <v>0.3187835714</v>
      </c>
      <c r="F764" s="20">
        <f>IFERROR(__xludf.DUMMYFUNCTION("""COMPUTED_VALUE"""),0.3507444714285714)</f>
        <v>0.3507444714</v>
      </c>
      <c r="G764" s="20"/>
      <c r="H764" s="23"/>
      <c r="J764" s="22"/>
    </row>
    <row r="765">
      <c r="A765" s="24">
        <f>IFERROR(__xludf.DUMMYFUNCTION("""COMPUTED_VALUE"""),45325.0)</f>
        <v>45325</v>
      </c>
      <c r="B765" s="20">
        <f>IFERROR(__xludf.DUMMYFUNCTION("""COMPUTED_VALUE"""),0.6071444444444444)</f>
        <v>0.6071444444</v>
      </c>
      <c r="C765" s="21">
        <f>IFERROR(__xludf.DUMMYFUNCTION("""COMPUTED_VALUE"""),0.5445)</f>
        <v>0.5445</v>
      </c>
      <c r="D765" s="25">
        <f>IFERROR(__xludf.DUMMYFUNCTION("""COMPUTED_VALUE"""),0.7044000000000001)</f>
        <v>0.7044</v>
      </c>
      <c r="E765" s="20">
        <f>IFERROR(__xludf.DUMMYFUNCTION("""COMPUTED_VALUE"""),0.32199357142857143)</f>
        <v>0.3219935714</v>
      </c>
      <c r="F765" s="20">
        <f>IFERROR(__xludf.DUMMYFUNCTION("""COMPUTED_VALUE"""),0.35221304642857143)</f>
        <v>0.3522130464</v>
      </c>
      <c r="G765" s="20"/>
      <c r="H765" s="23"/>
      <c r="J765" s="22"/>
    </row>
    <row r="766">
      <c r="A766" s="24">
        <f>IFERROR(__xludf.DUMMYFUNCTION("""COMPUTED_VALUE"""),45326.0)</f>
        <v>45326</v>
      </c>
      <c r="B766" s="20">
        <f>IFERROR(__xludf.DUMMYFUNCTION("""COMPUTED_VALUE"""),0.6071444444444444)</f>
        <v>0.6071444444</v>
      </c>
      <c r="C766" s="21">
        <f>IFERROR(__xludf.DUMMYFUNCTION("""COMPUTED_VALUE"""),0.5445)</f>
        <v>0.5445</v>
      </c>
      <c r="D766" s="25">
        <f>IFERROR(__xludf.DUMMYFUNCTION("""COMPUTED_VALUE"""),0.7044000000000001)</f>
        <v>0.7044</v>
      </c>
      <c r="E766" s="20">
        <f>IFERROR(__xludf.DUMMYFUNCTION("""COMPUTED_VALUE"""),0.3252035714285714)</f>
        <v>0.3252035714</v>
      </c>
      <c r="F766" s="20">
        <f>IFERROR(__xludf.DUMMYFUNCTION("""COMPUTED_VALUE"""),0.35368162142857146)</f>
        <v>0.3536816214</v>
      </c>
      <c r="G766" s="20"/>
      <c r="H766" s="23"/>
      <c r="J766" s="22"/>
    </row>
    <row r="767">
      <c r="A767" s="24">
        <f>IFERROR(__xludf.DUMMYFUNCTION("""COMPUTED_VALUE"""),45327.0)</f>
        <v>45327</v>
      </c>
      <c r="B767" s="20">
        <f>IFERROR(__xludf.DUMMYFUNCTION("""COMPUTED_VALUE"""),0.6071444444444444)</f>
        <v>0.6071444444</v>
      </c>
      <c r="C767" s="21">
        <f>IFERROR(__xludf.DUMMYFUNCTION("""COMPUTED_VALUE"""),0.5445)</f>
        <v>0.5445</v>
      </c>
      <c r="D767" s="25">
        <f>IFERROR(__xludf.DUMMYFUNCTION("""COMPUTED_VALUE"""),0.7044000000000001)</f>
        <v>0.7044</v>
      </c>
      <c r="E767" s="20">
        <f>IFERROR(__xludf.DUMMYFUNCTION("""COMPUTED_VALUE"""),0.32734357142857146)</f>
        <v>0.3273435714</v>
      </c>
      <c r="F767" s="20">
        <f>IFERROR(__xludf.DUMMYFUNCTION("""COMPUTED_VALUE"""),0.3539487392857143)</f>
        <v>0.3539487393</v>
      </c>
      <c r="G767" s="20"/>
      <c r="H767" s="23"/>
      <c r="J767" s="22"/>
    </row>
    <row r="768">
      <c r="A768" s="24">
        <f>IFERROR(__xludf.DUMMYFUNCTION("""COMPUTED_VALUE"""),45328.0)</f>
        <v>45328</v>
      </c>
      <c r="B768" s="20">
        <f>IFERROR(__xludf.DUMMYFUNCTION("""COMPUTED_VALUE"""),0.6071444444444444)</f>
        <v>0.6071444444</v>
      </c>
      <c r="C768" s="21">
        <f>IFERROR(__xludf.DUMMYFUNCTION("""COMPUTED_VALUE"""),0.5445)</f>
        <v>0.5445</v>
      </c>
      <c r="D768" s="25">
        <f>IFERROR(__xludf.DUMMYFUNCTION("""COMPUTED_VALUE"""),0.7044000000000001)</f>
        <v>0.7044</v>
      </c>
      <c r="E768" s="20">
        <f>IFERROR(__xludf.DUMMYFUNCTION("""COMPUTED_VALUE"""),0.3264264285714286)</f>
        <v>0.3264264286</v>
      </c>
      <c r="F768" s="20">
        <f>IFERROR(__xludf.DUMMYFUNCTION("""COMPUTED_VALUE"""),0.35286383571428576)</f>
        <v>0.3528638357</v>
      </c>
      <c r="G768" s="20"/>
      <c r="H768" s="23"/>
      <c r="J768" s="22"/>
    </row>
    <row r="769">
      <c r="A769" s="24">
        <f>IFERROR(__xludf.DUMMYFUNCTION("""COMPUTED_VALUE"""),45329.0)</f>
        <v>45329</v>
      </c>
      <c r="B769" s="20">
        <f>IFERROR(__xludf.DUMMYFUNCTION("""COMPUTED_VALUE"""),0.6071444444444444)</f>
        <v>0.6071444444</v>
      </c>
      <c r="C769" s="21">
        <f>IFERROR(__xludf.DUMMYFUNCTION("""COMPUTED_VALUE"""),0.5445)</f>
        <v>0.5445</v>
      </c>
      <c r="D769" s="25">
        <f>IFERROR(__xludf.DUMMYFUNCTION("""COMPUTED_VALUE"""),0.7044000000000001)</f>
        <v>0.7044</v>
      </c>
      <c r="E769" s="20">
        <f>IFERROR(__xludf.DUMMYFUNCTION("""COMPUTED_VALUE"""),0.32673214285714286)</f>
        <v>0.3267321429</v>
      </c>
      <c r="F769" s="20">
        <f>IFERROR(__xludf.DUMMYFUNCTION("""COMPUTED_VALUE"""),0.3499182785714285)</f>
        <v>0.3499182786</v>
      </c>
      <c r="G769" s="20"/>
      <c r="H769" s="23"/>
      <c r="J769" s="22"/>
    </row>
    <row r="770">
      <c r="A770" s="24">
        <f>IFERROR(__xludf.DUMMYFUNCTION("""COMPUTED_VALUE"""),45330.0)</f>
        <v>45330</v>
      </c>
      <c r="B770" s="20">
        <f>IFERROR(__xludf.DUMMYFUNCTION("""COMPUTED_VALUE"""),0.6071444444444444)</f>
        <v>0.6071444444</v>
      </c>
      <c r="C770" s="21">
        <f>IFERROR(__xludf.DUMMYFUNCTION("""COMPUTED_VALUE"""),0.5445)</f>
        <v>0.5445</v>
      </c>
      <c r="D770" s="25">
        <f>IFERROR(__xludf.DUMMYFUNCTION("""COMPUTED_VALUE"""),0.7044000000000001)</f>
        <v>0.7044</v>
      </c>
      <c r="E770" s="20">
        <f>IFERROR(__xludf.DUMMYFUNCTION("""COMPUTED_VALUE"""),0.32298714285714286)</f>
        <v>0.3229871429</v>
      </c>
      <c r="F770" s="20">
        <f>IFERROR(__xludf.DUMMYFUNCTION("""COMPUTED_VALUE"""),0.3469773071428572)</f>
        <v>0.3469773071</v>
      </c>
      <c r="G770" s="20"/>
      <c r="H770" s="23"/>
      <c r="J770" s="22"/>
    </row>
    <row r="771">
      <c r="A771" s="24">
        <f>IFERROR(__xludf.DUMMYFUNCTION("""COMPUTED_VALUE"""),45331.0)</f>
        <v>45331</v>
      </c>
      <c r="B771" s="20">
        <f>IFERROR(__xludf.DUMMYFUNCTION("""COMPUTED_VALUE"""),0.6071444444444444)</f>
        <v>0.6071444444</v>
      </c>
      <c r="C771" s="21">
        <f>IFERROR(__xludf.DUMMYFUNCTION("""COMPUTED_VALUE"""),0.5445)</f>
        <v>0.5445</v>
      </c>
      <c r="D771" s="25">
        <f>IFERROR(__xludf.DUMMYFUNCTION("""COMPUTED_VALUE"""),0.7044000000000001)</f>
        <v>0.7044</v>
      </c>
      <c r="E771" s="20">
        <f>IFERROR(__xludf.DUMMYFUNCTION("""COMPUTED_VALUE"""),0.31954785714285716)</f>
        <v>0.3195478571</v>
      </c>
      <c r="F771" s="20">
        <f>IFERROR(__xludf.DUMMYFUNCTION("""COMPUTED_VALUE"""),0.34291703928571426)</f>
        <v>0.3429170393</v>
      </c>
      <c r="G771" s="20"/>
      <c r="H771" s="23"/>
      <c r="J771" s="22"/>
    </row>
    <row r="772">
      <c r="A772" s="24">
        <f>IFERROR(__xludf.DUMMYFUNCTION("""COMPUTED_VALUE"""),45332.0)</f>
        <v>45332</v>
      </c>
      <c r="B772" s="20">
        <f>IFERROR(__xludf.DUMMYFUNCTION("""COMPUTED_VALUE"""),0.6071444444444444)</f>
        <v>0.6071444444</v>
      </c>
      <c r="C772" s="21">
        <f>IFERROR(__xludf.DUMMYFUNCTION("""COMPUTED_VALUE"""),0.5445)</f>
        <v>0.5445</v>
      </c>
      <c r="D772" s="25">
        <f>IFERROR(__xludf.DUMMYFUNCTION("""COMPUTED_VALUE"""),0.7044000000000001)</f>
        <v>0.7044</v>
      </c>
      <c r="E772" s="20">
        <f>IFERROR(__xludf.DUMMYFUNCTION("""COMPUTED_VALUE"""),0.31679642857142853)</f>
        <v>0.3167964286</v>
      </c>
      <c r="F772" s="20">
        <f>IFERROR(__xludf.DUMMYFUNCTION("""COMPUTED_VALUE"""),0.3388567714285714)</f>
        <v>0.3388567714</v>
      </c>
      <c r="G772" s="20"/>
      <c r="H772" s="23"/>
      <c r="J772" s="22"/>
    </row>
    <row r="773">
      <c r="A773" s="24">
        <f>IFERROR(__xludf.DUMMYFUNCTION("""COMPUTED_VALUE"""),45333.0)</f>
        <v>45333</v>
      </c>
      <c r="B773" s="20">
        <f>IFERROR(__xludf.DUMMYFUNCTION("""COMPUTED_VALUE"""),0.6071444444444444)</f>
        <v>0.6071444444</v>
      </c>
      <c r="C773" s="21">
        <f>IFERROR(__xludf.DUMMYFUNCTION("""COMPUTED_VALUE"""),0.5445)</f>
        <v>0.5445</v>
      </c>
      <c r="D773" s="25">
        <f>IFERROR(__xludf.DUMMYFUNCTION("""COMPUTED_VALUE"""),0.7044000000000001)</f>
        <v>0.7044</v>
      </c>
      <c r="E773" s="20">
        <f>IFERROR(__xludf.DUMMYFUNCTION("""COMPUTED_VALUE"""),0.314045)</f>
        <v>0.314045</v>
      </c>
      <c r="F773" s="20">
        <f>IFERROR(__xludf.DUMMYFUNCTION("""COMPUTED_VALUE"""),0.3347965035714285)</f>
        <v>0.3347965036</v>
      </c>
      <c r="G773" s="20"/>
      <c r="H773" s="23"/>
      <c r="J773" s="22"/>
    </row>
    <row r="774">
      <c r="A774" s="24">
        <f>IFERROR(__xludf.DUMMYFUNCTION("""COMPUTED_VALUE"""),45334.0)</f>
        <v>45334</v>
      </c>
      <c r="B774" s="20">
        <f>IFERROR(__xludf.DUMMYFUNCTION("""COMPUTED_VALUE"""),0.5948111111111111)</f>
        <v>0.5948111111</v>
      </c>
      <c r="C774" s="21">
        <f>IFERROR(__xludf.DUMMYFUNCTION("""COMPUTED_VALUE"""),0.4995)</f>
        <v>0.4995</v>
      </c>
      <c r="D774" s="25">
        <f>IFERROR(__xludf.DUMMYFUNCTION("""COMPUTED_VALUE"""),0.7044000000000001)</f>
        <v>0.7044</v>
      </c>
      <c r="E774" s="20">
        <f>IFERROR(__xludf.DUMMYFUNCTION("""COMPUTED_VALUE"""),0.31091142857142856)</f>
        <v>0.3109114286</v>
      </c>
      <c r="F774" s="20">
        <f>IFERROR(__xludf.DUMMYFUNCTION("""COMPUTED_VALUE"""),0.33044274999999995)</f>
        <v>0.33044275</v>
      </c>
      <c r="G774" s="20"/>
      <c r="H774" s="23"/>
      <c r="J774" s="22"/>
    </row>
    <row r="775">
      <c r="A775" s="24">
        <f>IFERROR(__xludf.DUMMYFUNCTION("""COMPUTED_VALUE"""),45335.0)</f>
        <v>45335</v>
      </c>
      <c r="B775" s="20">
        <f>IFERROR(__xludf.DUMMYFUNCTION("""COMPUTED_VALUE"""),0.5948111111111111)</f>
        <v>0.5948111111</v>
      </c>
      <c r="C775" s="21">
        <f>IFERROR(__xludf.DUMMYFUNCTION("""COMPUTED_VALUE"""),0.4995)</f>
        <v>0.4995</v>
      </c>
      <c r="D775" s="25">
        <f>IFERROR(__xludf.DUMMYFUNCTION("""COMPUTED_VALUE"""),0.7044000000000001)</f>
        <v>0.7044</v>
      </c>
      <c r="E775" s="20">
        <f>IFERROR(__xludf.DUMMYFUNCTION("""COMPUTED_VALUE"""),0.30724285714285715)</f>
        <v>0.3072428571</v>
      </c>
      <c r="F775" s="20">
        <f>IFERROR(__xludf.DUMMYFUNCTION("""COMPUTED_VALUE"""),0.3253690392857142)</f>
        <v>0.3253690393</v>
      </c>
      <c r="G775" s="20"/>
      <c r="H775" s="23"/>
      <c r="J775" s="22"/>
    </row>
    <row r="776">
      <c r="A776" s="24">
        <f>IFERROR(__xludf.DUMMYFUNCTION("""COMPUTED_VALUE"""),45336.0)</f>
        <v>45336</v>
      </c>
      <c r="B776" s="20">
        <f>IFERROR(__xludf.DUMMYFUNCTION("""COMPUTED_VALUE"""),0.5948111111111111)</f>
        <v>0.5948111111</v>
      </c>
      <c r="C776" s="21">
        <f>IFERROR(__xludf.DUMMYFUNCTION("""COMPUTED_VALUE"""),0.4995)</f>
        <v>0.4995</v>
      </c>
      <c r="D776" s="25">
        <f>IFERROR(__xludf.DUMMYFUNCTION("""COMPUTED_VALUE"""),0.7044000000000001)</f>
        <v>0.7044</v>
      </c>
      <c r="E776" s="20">
        <f>IFERROR(__xludf.DUMMYFUNCTION("""COMPUTED_VALUE"""),0.3016635714285714)</f>
        <v>0.3016635714</v>
      </c>
      <c r="F776" s="20">
        <f>IFERROR(__xludf.DUMMYFUNCTION("""COMPUTED_VALUE"""),0.31994948928571426)</f>
        <v>0.3199494893</v>
      </c>
      <c r="G776" s="20"/>
      <c r="H776" s="23"/>
      <c r="J776" s="22"/>
    </row>
    <row r="777">
      <c r="A777" s="24">
        <f>IFERROR(__xludf.DUMMYFUNCTION("""COMPUTED_VALUE"""),45337.0)</f>
        <v>45337</v>
      </c>
      <c r="B777" s="20">
        <f>IFERROR(__xludf.DUMMYFUNCTION("""COMPUTED_VALUE"""),0.5948111111111111)</f>
        <v>0.5948111111</v>
      </c>
      <c r="C777" s="21">
        <f>IFERROR(__xludf.DUMMYFUNCTION("""COMPUTED_VALUE"""),0.4995)</f>
        <v>0.4995</v>
      </c>
      <c r="D777" s="25">
        <f>IFERROR(__xludf.DUMMYFUNCTION("""COMPUTED_VALUE"""),0.7044000000000001)</f>
        <v>0.7044</v>
      </c>
      <c r="E777" s="20">
        <f>IFERROR(__xludf.DUMMYFUNCTION("""COMPUTED_VALUE"""),0.29746)</f>
        <v>0.29746</v>
      </c>
      <c r="F777" s="20">
        <f>IFERROR(__xludf.DUMMYFUNCTION("""COMPUTED_VALUE"""),0.3156950928571428)</f>
        <v>0.3156950929</v>
      </c>
      <c r="G777" s="20"/>
      <c r="H777" s="23"/>
      <c r="J777" s="22"/>
    </row>
    <row r="778">
      <c r="A778" s="24">
        <f>IFERROR(__xludf.DUMMYFUNCTION("""COMPUTED_VALUE"""),45338.0)</f>
        <v>45338</v>
      </c>
      <c r="B778" s="20">
        <f>IFERROR(__xludf.DUMMYFUNCTION("""COMPUTED_VALUE"""),0.5948111111111111)</f>
        <v>0.5948111111</v>
      </c>
      <c r="C778" s="21">
        <f>IFERROR(__xludf.DUMMYFUNCTION("""COMPUTED_VALUE"""),0.4995)</f>
        <v>0.4995</v>
      </c>
      <c r="D778" s="25">
        <f>IFERROR(__xludf.DUMMYFUNCTION("""COMPUTED_VALUE"""),0.7044000000000001)</f>
        <v>0.7044</v>
      </c>
      <c r="E778" s="20">
        <f>IFERROR(__xludf.DUMMYFUNCTION("""COMPUTED_VALUE"""),0.2952435714285714)</f>
        <v>0.2952435714</v>
      </c>
      <c r="F778" s="20">
        <f>IFERROR(__xludf.DUMMYFUNCTION("""COMPUTED_VALUE"""),0.31249923214285713)</f>
        <v>0.3124992321</v>
      </c>
      <c r="G778" s="20"/>
      <c r="H778" s="23"/>
      <c r="J778" s="22"/>
    </row>
    <row r="779">
      <c r="A779" s="24">
        <f>IFERROR(__xludf.DUMMYFUNCTION("""COMPUTED_VALUE"""),45339.0)</f>
        <v>45339</v>
      </c>
      <c r="B779" s="20">
        <f>IFERROR(__xludf.DUMMYFUNCTION("""COMPUTED_VALUE"""),0.5948111111111111)</f>
        <v>0.5948111111</v>
      </c>
      <c r="C779" s="21">
        <f>IFERROR(__xludf.DUMMYFUNCTION("""COMPUTED_VALUE"""),0.4995)</f>
        <v>0.4995</v>
      </c>
      <c r="D779" s="25">
        <f>IFERROR(__xludf.DUMMYFUNCTION("""COMPUTED_VALUE"""),0.7044000000000001)</f>
        <v>0.7044</v>
      </c>
      <c r="E779" s="20">
        <f>IFERROR(__xludf.DUMMYFUNCTION("""COMPUTED_VALUE"""),0.2907342857142857)</f>
        <v>0.2907342857</v>
      </c>
      <c r="F779" s="20">
        <f>IFERROR(__xludf.DUMMYFUNCTION("""COMPUTED_VALUE"""),0.3093033714285714)</f>
        <v>0.3093033714</v>
      </c>
      <c r="G779" s="20"/>
      <c r="H779" s="23"/>
      <c r="J779" s="22"/>
    </row>
    <row r="780">
      <c r="A780" s="24">
        <f>IFERROR(__xludf.DUMMYFUNCTION("""COMPUTED_VALUE"""),45340.0)</f>
        <v>45340</v>
      </c>
      <c r="B780" s="20">
        <f>IFERROR(__xludf.DUMMYFUNCTION("""COMPUTED_VALUE"""),0.5948111111111111)</f>
        <v>0.5948111111</v>
      </c>
      <c r="C780" s="21">
        <f>IFERROR(__xludf.DUMMYFUNCTION("""COMPUTED_VALUE"""),0.4995)</f>
        <v>0.4995</v>
      </c>
      <c r="D780" s="25">
        <f>IFERROR(__xludf.DUMMYFUNCTION("""COMPUTED_VALUE"""),0.7044000000000001)</f>
        <v>0.7044</v>
      </c>
      <c r="E780" s="20">
        <f>IFERROR(__xludf.DUMMYFUNCTION("""COMPUTED_VALUE"""),0.286225)</f>
        <v>0.286225</v>
      </c>
      <c r="F780" s="20">
        <f>IFERROR(__xludf.DUMMYFUNCTION("""COMPUTED_VALUE"""),0.3061075107142857)</f>
        <v>0.3061075107</v>
      </c>
      <c r="G780" s="20"/>
      <c r="H780" s="23"/>
      <c r="J780" s="22"/>
    </row>
    <row r="781">
      <c r="A781" s="24">
        <f>IFERROR(__xludf.DUMMYFUNCTION("""COMPUTED_VALUE"""),45341.0)</f>
        <v>45341</v>
      </c>
      <c r="B781" s="20">
        <f>IFERROR(__xludf.DUMMYFUNCTION("""COMPUTED_VALUE"""),0.5948111111111111)</f>
        <v>0.5948111111</v>
      </c>
      <c r="C781" s="21">
        <f>IFERROR(__xludf.DUMMYFUNCTION("""COMPUTED_VALUE"""),0.4995)</f>
        <v>0.4995</v>
      </c>
      <c r="D781" s="25">
        <f>IFERROR(__xludf.DUMMYFUNCTION("""COMPUTED_VALUE"""),0.7044000000000001)</f>
        <v>0.7044</v>
      </c>
      <c r="E781" s="20">
        <f>IFERROR(__xludf.DUMMYFUNCTION("""COMPUTED_VALUE"""),0.2817921428571428)</f>
        <v>0.2817921429</v>
      </c>
      <c r="F781" s="20">
        <f>IFERROR(__xludf.DUMMYFUNCTION("""COMPUTED_VALUE"""),0.3029074464285714)</f>
        <v>0.3029074464</v>
      </c>
      <c r="G781" s="20"/>
      <c r="H781" s="23"/>
      <c r="J781" s="22"/>
    </row>
    <row r="782">
      <c r="A782" s="24">
        <f>IFERROR(__xludf.DUMMYFUNCTION("""COMPUTED_VALUE"""),45342.0)</f>
        <v>45342</v>
      </c>
      <c r="B782" s="20">
        <f>IFERROR(__xludf.DUMMYFUNCTION("""COMPUTED_VALUE"""),0.5948111111111111)</f>
        <v>0.5948111111</v>
      </c>
      <c r="C782" s="21">
        <f>IFERROR(__xludf.DUMMYFUNCTION("""COMPUTED_VALUE"""),0.4995)</f>
        <v>0.4995</v>
      </c>
      <c r="D782" s="25">
        <f>IFERROR(__xludf.DUMMYFUNCTION("""COMPUTED_VALUE"""),0.7044000000000001)</f>
        <v>0.7044</v>
      </c>
      <c r="E782" s="20">
        <f>IFERROR(__xludf.DUMMYFUNCTION("""COMPUTED_VALUE"""),0.27888785714285713)</f>
        <v>0.2788878571</v>
      </c>
      <c r="F782" s="20">
        <f>IFERROR(__xludf.DUMMYFUNCTION("""COMPUTED_VALUE"""),0.30135136071428575)</f>
        <v>0.3013513607</v>
      </c>
      <c r="G782" s="20"/>
      <c r="H782" s="23"/>
      <c r="J782" s="22"/>
    </row>
    <row r="783">
      <c r="A783" s="24">
        <f>IFERROR(__xludf.DUMMYFUNCTION("""COMPUTED_VALUE"""),45343.0)</f>
        <v>45343</v>
      </c>
      <c r="B783" s="20">
        <f>IFERROR(__xludf.DUMMYFUNCTION("""COMPUTED_VALUE"""),0.5948111111111111)</f>
        <v>0.5948111111</v>
      </c>
      <c r="C783" s="21">
        <f>IFERROR(__xludf.DUMMYFUNCTION("""COMPUTED_VALUE"""),0.4995)</f>
        <v>0.4995</v>
      </c>
      <c r="D783" s="25">
        <f>IFERROR(__xludf.DUMMYFUNCTION("""COMPUTED_VALUE"""),0.7044000000000001)</f>
        <v>0.7044</v>
      </c>
      <c r="E783" s="20">
        <f>IFERROR(__xludf.DUMMYFUNCTION("""COMPUTED_VALUE"""),0.2778942857142857)</f>
        <v>0.2778942857</v>
      </c>
      <c r="F783" s="20">
        <f>IFERROR(__xludf.DUMMYFUNCTION("""COMPUTED_VALUE"""),0.3005561214285714)</f>
        <v>0.3005561214</v>
      </c>
      <c r="G783" s="20"/>
      <c r="H783" s="23"/>
      <c r="J783" s="22"/>
    </row>
    <row r="784">
      <c r="A784" s="24">
        <f>IFERROR(__xludf.DUMMYFUNCTION("""COMPUTED_VALUE"""),45344.0)</f>
        <v>45344</v>
      </c>
      <c r="B784" s="20">
        <f>IFERROR(__xludf.DUMMYFUNCTION("""COMPUTED_VALUE"""),0.5948111111111111)</f>
        <v>0.5948111111</v>
      </c>
      <c r="C784" s="21">
        <f>IFERROR(__xludf.DUMMYFUNCTION("""COMPUTED_VALUE"""),0.4995)</f>
        <v>0.4995</v>
      </c>
      <c r="D784" s="25">
        <f>IFERROR(__xludf.DUMMYFUNCTION("""COMPUTED_VALUE"""),0.7044000000000001)</f>
        <v>0.7044</v>
      </c>
      <c r="E784" s="20">
        <f>IFERROR(__xludf.DUMMYFUNCTION("""COMPUTED_VALUE"""),0.2775121428571428)</f>
        <v>0.2775121429</v>
      </c>
      <c r="F784" s="20">
        <f>IFERROR(__xludf.DUMMYFUNCTION("""COMPUTED_VALUE"""),0.29863623571428566)</f>
        <v>0.2986362357</v>
      </c>
      <c r="G784" s="20"/>
      <c r="H784" s="23"/>
      <c r="J784" s="22"/>
    </row>
    <row r="785">
      <c r="A785" s="24">
        <f>IFERROR(__xludf.DUMMYFUNCTION("""COMPUTED_VALUE"""),45345.0)</f>
        <v>45345</v>
      </c>
      <c r="B785" s="20">
        <f>IFERROR(__xludf.DUMMYFUNCTION("""COMPUTED_VALUE"""),0.5948111111111111)</f>
        <v>0.5948111111</v>
      </c>
      <c r="C785" s="21">
        <f>IFERROR(__xludf.DUMMYFUNCTION("""COMPUTED_VALUE"""),0.4995)</f>
        <v>0.4995</v>
      </c>
      <c r="D785" s="25">
        <f>IFERROR(__xludf.DUMMYFUNCTION("""COMPUTED_VALUE"""),0.7044000000000001)</f>
        <v>0.7044</v>
      </c>
      <c r="E785" s="20">
        <f>IFERROR(__xludf.DUMMYFUNCTION("""COMPUTED_VALUE"""),0.27583071428571426)</f>
        <v>0.2758307143</v>
      </c>
      <c r="F785" s="20">
        <f>IFERROR(__xludf.DUMMYFUNCTION("""COMPUTED_VALUE"""),0.29624287499999996)</f>
        <v>0.296242875</v>
      </c>
      <c r="G785" s="20"/>
      <c r="H785" s="23"/>
      <c r="J785" s="22"/>
    </row>
    <row r="786">
      <c r="A786" s="24">
        <f>IFERROR(__xludf.DUMMYFUNCTION("""COMPUTED_VALUE"""),45346.0)</f>
        <v>45346</v>
      </c>
      <c r="B786" s="20">
        <f>IFERROR(__xludf.DUMMYFUNCTION("""COMPUTED_VALUE"""),0.5948111111111111)</f>
        <v>0.5948111111</v>
      </c>
      <c r="C786" s="21">
        <f>IFERROR(__xludf.DUMMYFUNCTION("""COMPUTED_VALUE"""),0.4995)</f>
        <v>0.4995</v>
      </c>
      <c r="D786" s="25">
        <f>IFERROR(__xludf.DUMMYFUNCTION("""COMPUTED_VALUE"""),0.7044000000000001)</f>
        <v>0.7044</v>
      </c>
      <c r="E786" s="20">
        <f>IFERROR(__xludf.DUMMYFUNCTION("""COMPUTED_VALUE"""),0.27483714285714284)</f>
        <v>0.2748371429</v>
      </c>
      <c r="F786" s="20">
        <f>IFERROR(__xludf.DUMMYFUNCTION("""COMPUTED_VALUE"""),0.29384951428571426)</f>
        <v>0.2938495143</v>
      </c>
      <c r="G786" s="20"/>
      <c r="H786" s="23"/>
      <c r="J786" s="22"/>
    </row>
    <row r="787">
      <c r="A787" s="24">
        <f>IFERROR(__xludf.DUMMYFUNCTION("""COMPUTED_VALUE"""),45347.0)</f>
        <v>45347</v>
      </c>
      <c r="B787" s="20">
        <f>IFERROR(__xludf.DUMMYFUNCTION("""COMPUTED_VALUE"""),0.5948111111111111)</f>
        <v>0.5948111111</v>
      </c>
      <c r="C787" s="21">
        <f>IFERROR(__xludf.DUMMYFUNCTION("""COMPUTED_VALUE"""),0.4995)</f>
        <v>0.4995</v>
      </c>
      <c r="D787" s="25">
        <f>IFERROR(__xludf.DUMMYFUNCTION("""COMPUTED_VALUE"""),0.7044000000000001)</f>
        <v>0.7044</v>
      </c>
      <c r="E787" s="20">
        <f>IFERROR(__xludf.DUMMYFUNCTION("""COMPUTED_VALUE"""),0.2738435714285714)</f>
        <v>0.2738435714</v>
      </c>
      <c r="F787" s="20">
        <f>IFERROR(__xludf.DUMMYFUNCTION("""COMPUTED_VALUE"""),0.2914561535714285)</f>
        <v>0.2914561536</v>
      </c>
      <c r="G787" s="20"/>
      <c r="H787" s="23"/>
      <c r="J787" s="22"/>
    </row>
    <row r="788">
      <c r="A788" s="24">
        <f>IFERROR(__xludf.DUMMYFUNCTION("""COMPUTED_VALUE"""),45348.0)</f>
        <v>45348</v>
      </c>
      <c r="B788" s="20">
        <f>IFERROR(__xludf.DUMMYFUNCTION("""COMPUTED_VALUE"""),0.5349722222222222)</f>
        <v>0.5349722222</v>
      </c>
      <c r="C788" s="21">
        <f>IFERROR(__xludf.DUMMYFUNCTION("""COMPUTED_VALUE"""),0.41125)</f>
        <v>0.41125</v>
      </c>
      <c r="D788" s="25">
        <f>IFERROR(__xludf.DUMMYFUNCTION("""COMPUTED_VALUE"""),0.655)</f>
        <v>0.655</v>
      </c>
      <c r="E788" s="20">
        <f>IFERROR(__xludf.DUMMYFUNCTION("""COMPUTED_VALUE"""),0.2730792857142857)</f>
        <v>0.2730792857</v>
      </c>
      <c r="F788" s="20">
        <f>IFERROR(__xludf.DUMMYFUNCTION("""COMPUTED_VALUE"""),0.2917481107142857)</f>
        <v>0.2917481107</v>
      </c>
      <c r="G788" s="20"/>
      <c r="H788" s="23"/>
      <c r="J788" s="22"/>
    </row>
    <row r="789">
      <c r="A789" s="24">
        <f>IFERROR(__xludf.DUMMYFUNCTION("""COMPUTED_VALUE"""),45349.0)</f>
        <v>45349</v>
      </c>
      <c r="B789" s="20">
        <f>IFERROR(__xludf.DUMMYFUNCTION("""COMPUTED_VALUE"""),0.5349722222222222)</f>
        <v>0.5349722222</v>
      </c>
      <c r="C789" s="21">
        <f>IFERROR(__xludf.DUMMYFUNCTION("""COMPUTED_VALUE"""),0.41125)</f>
        <v>0.41125</v>
      </c>
      <c r="D789" s="25">
        <f>IFERROR(__xludf.DUMMYFUNCTION("""COMPUTED_VALUE"""),0.655)</f>
        <v>0.655</v>
      </c>
      <c r="E789" s="20">
        <f>IFERROR(__xludf.DUMMYFUNCTION("""COMPUTED_VALUE"""),0.2742257142857143)</f>
        <v>0.2742257143</v>
      </c>
      <c r="F789" s="20">
        <f>IFERROR(__xludf.DUMMYFUNCTION("""COMPUTED_VALUE"""),0.2918306535714285)</f>
        <v>0.2918306536</v>
      </c>
      <c r="G789" s="20"/>
      <c r="H789" s="23"/>
      <c r="J789" s="22"/>
    </row>
    <row r="790">
      <c r="A790" s="24">
        <f>IFERROR(__xludf.DUMMYFUNCTION("""COMPUTED_VALUE"""),45350.0)</f>
        <v>45350</v>
      </c>
      <c r="B790" s="20">
        <f>IFERROR(__xludf.DUMMYFUNCTION("""COMPUTED_VALUE"""),0.5349722222222222)</f>
        <v>0.5349722222</v>
      </c>
      <c r="C790" s="21">
        <f>IFERROR(__xludf.DUMMYFUNCTION("""COMPUTED_VALUE"""),0.41125)</f>
        <v>0.41125</v>
      </c>
      <c r="D790" s="25">
        <f>IFERROR(__xludf.DUMMYFUNCTION("""COMPUTED_VALUE"""),0.655)</f>
        <v>0.655</v>
      </c>
      <c r="E790" s="20">
        <f>IFERROR(__xludf.DUMMYFUNCTION("""COMPUTED_VALUE"""),0.27552499999999996)</f>
        <v>0.275525</v>
      </c>
      <c r="F790" s="20">
        <f>IFERROR(__xludf.DUMMYFUNCTION("""COMPUTED_VALUE"""),0.29401230714285714)</f>
        <v>0.2940123071</v>
      </c>
      <c r="G790" s="20"/>
      <c r="H790" s="23"/>
      <c r="J790" s="22"/>
    </row>
    <row r="791">
      <c r="A791" s="24">
        <f>IFERROR(__xludf.DUMMYFUNCTION("""COMPUTED_VALUE"""),45351.0)</f>
        <v>45351</v>
      </c>
      <c r="B791" s="20">
        <f>IFERROR(__xludf.DUMMYFUNCTION("""COMPUTED_VALUE"""),0.5349722222222222)</f>
        <v>0.5349722222</v>
      </c>
      <c r="C791" s="21">
        <f>IFERROR(__xludf.DUMMYFUNCTION("""COMPUTED_VALUE"""),0.41125)</f>
        <v>0.41125</v>
      </c>
      <c r="D791" s="25">
        <f>IFERROR(__xludf.DUMMYFUNCTION("""COMPUTED_VALUE"""),0.655)</f>
        <v>0.655</v>
      </c>
      <c r="E791" s="20">
        <f>IFERROR(__xludf.DUMMYFUNCTION("""COMPUTED_VALUE"""),0.27942285714285714)</f>
        <v>0.2794228571</v>
      </c>
      <c r="F791" s="20">
        <f>IFERROR(__xludf.DUMMYFUNCTION("""COMPUTED_VALUE"""),0.2962959928571428)</f>
        <v>0.2962959929</v>
      </c>
      <c r="G791" s="20"/>
      <c r="H791" s="23"/>
      <c r="J791" s="22"/>
    </row>
    <row r="792">
      <c r="A792" s="24">
        <f>IFERROR(__xludf.DUMMYFUNCTION("""COMPUTED_VALUE"""),45352.0)</f>
        <v>45352</v>
      </c>
      <c r="B792" s="20">
        <f>IFERROR(__xludf.DUMMYFUNCTION("""COMPUTED_VALUE"""),0.5349722222222222)</f>
        <v>0.5349722222</v>
      </c>
      <c r="C792" s="21">
        <f>IFERROR(__xludf.DUMMYFUNCTION("""COMPUTED_VALUE"""),0.41125)</f>
        <v>0.41125</v>
      </c>
      <c r="D792" s="25">
        <f>IFERROR(__xludf.DUMMYFUNCTION("""COMPUTED_VALUE"""),0.655)</f>
        <v>0.655</v>
      </c>
      <c r="E792" s="20">
        <f>IFERROR(__xludf.DUMMYFUNCTION("""COMPUTED_VALUE"""),0.2824035714285714)</f>
        <v>0.2824035714</v>
      </c>
      <c r="F792" s="20">
        <f>IFERROR(__xludf.DUMMYFUNCTION("""COMPUTED_VALUE"""),0.300116275)</f>
        <v>0.300116275</v>
      </c>
      <c r="G792" s="20"/>
      <c r="H792" s="23"/>
      <c r="J792" s="22"/>
    </row>
    <row r="793">
      <c r="A793" s="24">
        <f>IFERROR(__xludf.DUMMYFUNCTION("""COMPUTED_VALUE"""),45353.0)</f>
        <v>45353</v>
      </c>
      <c r="B793" s="20">
        <f>IFERROR(__xludf.DUMMYFUNCTION("""COMPUTED_VALUE"""),0.5349722222222222)</f>
        <v>0.5349722222</v>
      </c>
      <c r="C793" s="21">
        <f>IFERROR(__xludf.DUMMYFUNCTION("""COMPUTED_VALUE"""),0.41125)</f>
        <v>0.41125</v>
      </c>
      <c r="D793" s="25">
        <f>IFERROR(__xludf.DUMMYFUNCTION("""COMPUTED_VALUE"""),0.655)</f>
        <v>0.655</v>
      </c>
      <c r="E793" s="20">
        <f>IFERROR(__xludf.DUMMYFUNCTION("""COMPUTED_VALUE"""),0.28538428571428576)</f>
        <v>0.2853842857</v>
      </c>
      <c r="F793" s="20">
        <f>IFERROR(__xludf.DUMMYFUNCTION("""COMPUTED_VALUE"""),0.3039365571428571)</f>
        <v>0.3039365571</v>
      </c>
      <c r="G793" s="20"/>
      <c r="H793" s="23"/>
      <c r="J793" s="22"/>
    </row>
    <row r="794">
      <c r="A794" s="24">
        <f>IFERROR(__xludf.DUMMYFUNCTION("""COMPUTED_VALUE"""),45354.0)</f>
        <v>45354</v>
      </c>
      <c r="B794" s="20">
        <f>IFERROR(__xludf.DUMMYFUNCTION("""COMPUTED_VALUE"""),0.5349722222222222)</f>
        <v>0.5349722222</v>
      </c>
      <c r="C794" s="21">
        <f>IFERROR(__xludf.DUMMYFUNCTION("""COMPUTED_VALUE"""),0.41125)</f>
        <v>0.41125</v>
      </c>
      <c r="D794" s="25">
        <f>IFERROR(__xludf.DUMMYFUNCTION("""COMPUTED_VALUE"""),0.655)</f>
        <v>0.655</v>
      </c>
      <c r="E794" s="20">
        <f>IFERROR(__xludf.DUMMYFUNCTION("""COMPUTED_VALUE"""),0.28836500000000004)</f>
        <v>0.288365</v>
      </c>
      <c r="F794" s="20">
        <f>IFERROR(__xludf.DUMMYFUNCTION("""COMPUTED_VALUE"""),0.3077568392857143)</f>
        <v>0.3077568393</v>
      </c>
      <c r="G794" s="20"/>
      <c r="H794" s="23"/>
      <c r="J794" s="22"/>
    </row>
    <row r="795">
      <c r="A795" s="24">
        <f>IFERROR(__xludf.DUMMYFUNCTION("""COMPUTED_VALUE"""),45355.0)</f>
        <v>45355</v>
      </c>
      <c r="B795" s="20">
        <f>IFERROR(__xludf.DUMMYFUNCTION("""COMPUTED_VALUE"""),0.48874999999999996)</f>
        <v>0.48875</v>
      </c>
      <c r="C795" s="21">
        <f>IFERROR(__xludf.DUMMYFUNCTION("""COMPUTED_VALUE"""),0.38949999999999996)</f>
        <v>0.3895</v>
      </c>
      <c r="D795" s="25">
        <f>IFERROR(__xludf.DUMMYFUNCTION("""COMPUTED_VALUE"""),0.65)</f>
        <v>0.65</v>
      </c>
      <c r="E795" s="20">
        <f>IFERROR(__xludf.DUMMYFUNCTION("""COMPUTED_VALUE"""),0.2913457142857143)</f>
        <v>0.2913457143</v>
      </c>
      <c r="F795" s="20">
        <f>IFERROR(__xludf.DUMMYFUNCTION("""COMPUTED_VALUE"""),0.31164170357142856)</f>
        <v>0.3116417036</v>
      </c>
      <c r="G795" s="20"/>
      <c r="H795" s="23"/>
      <c r="J795" s="22"/>
    </row>
    <row r="796">
      <c r="A796" s="24">
        <f>IFERROR(__xludf.DUMMYFUNCTION("""COMPUTED_VALUE"""),45356.0)</f>
        <v>45356</v>
      </c>
      <c r="B796" s="20">
        <f>IFERROR(__xludf.DUMMYFUNCTION("""COMPUTED_VALUE"""),0.48874999999999996)</f>
        <v>0.48875</v>
      </c>
      <c r="C796" s="21">
        <f>IFERROR(__xludf.DUMMYFUNCTION("""COMPUTED_VALUE"""),0.38949999999999996)</f>
        <v>0.3895</v>
      </c>
      <c r="D796" s="25">
        <f>IFERROR(__xludf.DUMMYFUNCTION("""COMPUTED_VALUE"""),0.65)</f>
        <v>0.65</v>
      </c>
      <c r="E796" s="20">
        <f>IFERROR(__xludf.DUMMYFUNCTION("""COMPUTED_VALUE"""),0.29577857142857145)</f>
        <v>0.2957785714</v>
      </c>
      <c r="F796" s="20">
        <f>IFERROR(__xludf.DUMMYFUNCTION("""COMPUTED_VALUE"""),0.3154402035714286)</f>
        <v>0.3154402036</v>
      </c>
      <c r="G796" s="20"/>
      <c r="H796" s="23"/>
      <c r="J796" s="22"/>
    </row>
    <row r="797">
      <c r="A797" s="24">
        <f>IFERROR(__xludf.DUMMYFUNCTION("""COMPUTED_VALUE"""),45357.0)</f>
        <v>45357</v>
      </c>
      <c r="B797" s="20">
        <f>IFERROR(__xludf.DUMMYFUNCTION("""COMPUTED_VALUE"""),0.48874999999999996)</f>
        <v>0.48875</v>
      </c>
      <c r="C797" s="21">
        <f>IFERROR(__xludf.DUMMYFUNCTION("""COMPUTED_VALUE"""),0.38949999999999996)</f>
        <v>0.3895</v>
      </c>
      <c r="D797" s="25">
        <f>IFERROR(__xludf.DUMMYFUNCTION("""COMPUTED_VALUE"""),0.65)</f>
        <v>0.65</v>
      </c>
      <c r="E797" s="20">
        <f>IFERROR(__xludf.DUMMYFUNCTION("""COMPUTED_VALUE"""),0.3005935714285715)</f>
        <v>0.3005935714</v>
      </c>
      <c r="F797" s="20">
        <f>IFERROR(__xludf.DUMMYFUNCTION("""COMPUTED_VALUE"""),0.31655147499999997)</f>
        <v>0.316551475</v>
      </c>
      <c r="G797" s="20"/>
      <c r="H797" s="23"/>
      <c r="J797" s="22"/>
    </row>
    <row r="798">
      <c r="A798" s="24">
        <f>IFERROR(__xludf.DUMMYFUNCTION("""COMPUTED_VALUE"""),45358.0)</f>
        <v>45358</v>
      </c>
      <c r="B798" s="20">
        <f>IFERROR(__xludf.DUMMYFUNCTION("""COMPUTED_VALUE"""),0.48874999999999996)</f>
        <v>0.48875</v>
      </c>
      <c r="C798" s="21">
        <f>IFERROR(__xludf.DUMMYFUNCTION("""COMPUTED_VALUE"""),0.38949999999999996)</f>
        <v>0.3895</v>
      </c>
      <c r="D798" s="25">
        <f>IFERROR(__xludf.DUMMYFUNCTION("""COMPUTED_VALUE"""),0.65)</f>
        <v>0.65</v>
      </c>
      <c r="E798" s="20">
        <f>IFERROR(__xludf.DUMMYFUNCTION("""COMPUTED_VALUE"""),0.30174)</f>
        <v>0.30174</v>
      </c>
      <c r="F798" s="20">
        <f>IFERROR(__xludf.DUMMYFUNCTION("""COMPUTED_VALUE"""),0.317402125)</f>
        <v>0.317402125</v>
      </c>
      <c r="G798" s="20"/>
      <c r="H798" s="23"/>
      <c r="J798" s="22"/>
    </row>
    <row r="799">
      <c r="A799" s="24">
        <f>IFERROR(__xludf.DUMMYFUNCTION("""COMPUTED_VALUE"""),45359.0)</f>
        <v>45359</v>
      </c>
      <c r="B799" s="20">
        <f>IFERROR(__xludf.DUMMYFUNCTION("""COMPUTED_VALUE"""),0.48874999999999996)</f>
        <v>0.48875</v>
      </c>
      <c r="C799" s="21">
        <f>IFERROR(__xludf.DUMMYFUNCTION("""COMPUTED_VALUE"""),0.38949999999999996)</f>
        <v>0.3895</v>
      </c>
      <c r="D799" s="25">
        <f>IFERROR(__xludf.DUMMYFUNCTION("""COMPUTED_VALUE"""),0.65)</f>
        <v>0.65</v>
      </c>
      <c r="E799" s="20">
        <f>IFERROR(__xludf.DUMMYFUNCTION("""COMPUTED_VALUE"""),0.30357428571428574)</f>
        <v>0.3035742857</v>
      </c>
      <c r="F799" s="20">
        <f>IFERROR(__xludf.DUMMYFUNCTION("""COMPUTED_VALUE"""),0.3179134321428571)</f>
        <v>0.3179134321</v>
      </c>
      <c r="G799" s="20"/>
      <c r="H799" s="23"/>
      <c r="J799" s="22"/>
    </row>
    <row r="800">
      <c r="A800" s="24">
        <f>IFERROR(__xludf.DUMMYFUNCTION("""COMPUTED_VALUE"""),45360.0)</f>
        <v>45360</v>
      </c>
      <c r="B800" s="20">
        <f>IFERROR(__xludf.DUMMYFUNCTION("""COMPUTED_VALUE"""),0.48874999999999996)</f>
        <v>0.48875</v>
      </c>
      <c r="C800" s="21">
        <f>IFERROR(__xludf.DUMMYFUNCTION("""COMPUTED_VALUE"""),0.38949999999999996)</f>
        <v>0.3895</v>
      </c>
      <c r="D800" s="25">
        <f>IFERROR(__xludf.DUMMYFUNCTION("""COMPUTED_VALUE"""),0.65)</f>
        <v>0.65</v>
      </c>
      <c r="E800" s="20">
        <f>IFERROR(__xludf.DUMMYFUNCTION("""COMPUTED_VALUE"""),0.305485)</f>
        <v>0.305485</v>
      </c>
      <c r="F800" s="20">
        <f>IFERROR(__xludf.DUMMYFUNCTION("""COMPUTED_VALUE"""),0.3184247392857143)</f>
        <v>0.3184247393</v>
      </c>
      <c r="G800" s="20"/>
      <c r="H800" s="23"/>
      <c r="J800" s="22"/>
    </row>
    <row r="801">
      <c r="A801" s="24">
        <f>IFERROR(__xludf.DUMMYFUNCTION("""COMPUTED_VALUE"""),45361.0)</f>
        <v>45361</v>
      </c>
      <c r="B801" s="20">
        <f>IFERROR(__xludf.DUMMYFUNCTION("""COMPUTED_VALUE"""),0.48874999999999996)</f>
        <v>0.48875</v>
      </c>
      <c r="C801" s="21">
        <f>IFERROR(__xludf.DUMMYFUNCTION("""COMPUTED_VALUE"""),0.38949999999999996)</f>
        <v>0.3895</v>
      </c>
      <c r="D801" s="25">
        <f>IFERROR(__xludf.DUMMYFUNCTION("""COMPUTED_VALUE"""),0.65)</f>
        <v>0.65</v>
      </c>
      <c r="E801" s="20">
        <f>IFERROR(__xludf.DUMMYFUNCTION("""COMPUTED_VALUE"""),0.30739571428571427)</f>
        <v>0.3073957143</v>
      </c>
      <c r="F801" s="20">
        <f>IFERROR(__xludf.DUMMYFUNCTION("""COMPUTED_VALUE"""),0.3189360464285715)</f>
        <v>0.3189360464</v>
      </c>
      <c r="G801" s="20"/>
      <c r="H801" s="23"/>
      <c r="J801" s="22"/>
    </row>
    <row r="802">
      <c r="A802" s="24">
        <f>IFERROR(__xludf.DUMMYFUNCTION("""COMPUTED_VALUE"""),45362.0)</f>
        <v>45362</v>
      </c>
      <c r="B802" s="20">
        <f>IFERROR(__xludf.DUMMYFUNCTION("""COMPUTED_VALUE"""),0.48874999999999996)</f>
        <v>0.48875</v>
      </c>
      <c r="C802" s="21">
        <f>IFERROR(__xludf.DUMMYFUNCTION("""COMPUTED_VALUE"""),0.38949999999999996)</f>
        <v>0.3895</v>
      </c>
      <c r="D802" s="25">
        <f>IFERROR(__xludf.DUMMYFUNCTION("""COMPUTED_VALUE"""),0.65)</f>
        <v>0.65</v>
      </c>
      <c r="E802" s="20">
        <f>IFERROR(__xludf.DUMMYFUNCTION("""COMPUTED_VALUE"""),0.3087714285714286)</f>
        <v>0.3087714286</v>
      </c>
      <c r="F802" s="20">
        <f>IFERROR(__xludf.DUMMYFUNCTION("""COMPUTED_VALUE"""),0.3162644857142857)</f>
        <v>0.3162644857</v>
      </c>
      <c r="G802" s="20"/>
      <c r="H802" s="23"/>
      <c r="J802" s="22"/>
    </row>
    <row r="803">
      <c r="A803" s="24">
        <f>IFERROR(__xludf.DUMMYFUNCTION("""COMPUTED_VALUE"""),45363.0)</f>
        <v>45363</v>
      </c>
      <c r="B803" s="20">
        <f>IFERROR(__xludf.DUMMYFUNCTION("""COMPUTED_VALUE"""),0.48874999999999996)</f>
        <v>0.48875</v>
      </c>
      <c r="C803" s="21">
        <f>IFERROR(__xludf.DUMMYFUNCTION("""COMPUTED_VALUE"""),0.38949999999999996)</f>
        <v>0.3895</v>
      </c>
      <c r="D803" s="25">
        <f>IFERROR(__xludf.DUMMYFUNCTION("""COMPUTED_VALUE"""),0.65)</f>
        <v>0.65</v>
      </c>
      <c r="E803" s="20">
        <f>IFERROR(__xludf.DUMMYFUNCTION("""COMPUTED_VALUE"""),0.30617285714285714)</f>
        <v>0.3061728571</v>
      </c>
      <c r="F803" s="20">
        <f>IFERROR(__xludf.DUMMYFUNCTION("""COMPUTED_VALUE"""),0.3126647)</f>
        <v>0.3126647</v>
      </c>
      <c r="G803" s="20"/>
      <c r="H803" s="23"/>
      <c r="J803" s="22"/>
    </row>
    <row r="804">
      <c r="A804" s="24">
        <f>IFERROR(__xludf.DUMMYFUNCTION("""COMPUTED_VALUE"""),45364.0)</f>
        <v>45364</v>
      </c>
      <c r="B804" s="20">
        <f>IFERROR(__xludf.DUMMYFUNCTION("""COMPUTED_VALUE"""),0.48874999999999996)</f>
        <v>0.48875</v>
      </c>
      <c r="C804" s="21">
        <f>IFERROR(__xludf.DUMMYFUNCTION("""COMPUTED_VALUE"""),0.38949999999999996)</f>
        <v>0.3895</v>
      </c>
      <c r="D804" s="25">
        <f>IFERROR(__xludf.DUMMYFUNCTION("""COMPUTED_VALUE"""),0.65)</f>
        <v>0.65</v>
      </c>
      <c r="E804" s="20">
        <f>IFERROR(__xludf.DUMMYFUNCTION("""COMPUTED_VALUE"""),0.3021221428571428)</f>
        <v>0.3021221429</v>
      </c>
      <c r="F804" s="20">
        <f>IFERROR(__xludf.DUMMYFUNCTION("""COMPUTED_VALUE"""),0.31000575)</f>
        <v>0.31000575</v>
      </c>
      <c r="G804" s="20"/>
      <c r="H804" s="23"/>
      <c r="J804" s="22"/>
    </row>
    <row r="805">
      <c r="A805" s="24">
        <f>IFERROR(__xludf.DUMMYFUNCTION("""COMPUTED_VALUE"""),45365.0)</f>
        <v>45365</v>
      </c>
      <c r="B805" s="20">
        <f>IFERROR(__xludf.DUMMYFUNCTION("""COMPUTED_VALUE"""),0.48874999999999996)</f>
        <v>0.48875</v>
      </c>
      <c r="C805" s="21">
        <f>IFERROR(__xludf.DUMMYFUNCTION("""COMPUTED_VALUE"""),0.38949999999999996)</f>
        <v>0.3895</v>
      </c>
      <c r="D805" s="25">
        <f>IFERROR(__xludf.DUMMYFUNCTION("""COMPUTED_VALUE"""),0.65)</f>
        <v>0.65</v>
      </c>
      <c r="E805" s="20">
        <f>IFERROR(__xludf.DUMMYFUNCTION("""COMPUTED_VALUE"""),0.2996764285714285)</f>
        <v>0.2996764286</v>
      </c>
      <c r="F805" s="20">
        <f>IFERROR(__xludf.DUMMYFUNCTION("""COMPUTED_VALUE"""),0.31002523928571424)</f>
        <v>0.3100252393</v>
      </c>
      <c r="G805" s="20"/>
      <c r="H805" s="23"/>
      <c r="J805" s="22"/>
    </row>
    <row r="806">
      <c r="A806" s="24">
        <f>IFERROR(__xludf.DUMMYFUNCTION("""COMPUTED_VALUE"""),45366.0)</f>
        <v>45366</v>
      </c>
      <c r="B806" s="20">
        <f>IFERROR(__xludf.DUMMYFUNCTION("""COMPUTED_VALUE"""),0.48874999999999996)</f>
        <v>0.48875</v>
      </c>
      <c r="C806" s="21">
        <f>IFERROR(__xludf.DUMMYFUNCTION("""COMPUTED_VALUE"""),0.38949999999999996)</f>
        <v>0.3895</v>
      </c>
      <c r="D806" s="25">
        <f>IFERROR(__xludf.DUMMYFUNCTION("""COMPUTED_VALUE"""),0.65)</f>
        <v>0.65</v>
      </c>
      <c r="E806" s="20">
        <f>IFERROR(__xludf.DUMMYFUNCTION("""COMPUTED_VALUE"""),0.29937071428571427)</f>
        <v>0.2993707143</v>
      </c>
      <c r="F806" s="20">
        <f>IFERROR(__xludf.DUMMYFUNCTION("""COMPUTED_VALUE"""),0.31074099285714285)</f>
        <v>0.3107409929</v>
      </c>
      <c r="G806" s="20"/>
      <c r="H806" s="23"/>
      <c r="J806" s="22"/>
    </row>
    <row r="807">
      <c r="A807" s="24">
        <f>IFERROR(__xludf.DUMMYFUNCTION("""COMPUTED_VALUE"""),45367.0)</f>
        <v>45367</v>
      </c>
      <c r="B807" s="20">
        <f>IFERROR(__xludf.DUMMYFUNCTION("""COMPUTED_VALUE"""),0.48874999999999996)</f>
        <v>0.48875</v>
      </c>
      <c r="C807" s="21">
        <f>IFERROR(__xludf.DUMMYFUNCTION("""COMPUTED_VALUE"""),0.38949999999999996)</f>
        <v>0.3895</v>
      </c>
      <c r="D807" s="25">
        <f>IFERROR(__xludf.DUMMYFUNCTION("""COMPUTED_VALUE"""),0.65)</f>
        <v>0.65</v>
      </c>
      <c r="E807" s="20">
        <f>IFERROR(__xludf.DUMMYFUNCTION("""COMPUTED_VALUE"""),0.2999057142857143)</f>
        <v>0.2999057143</v>
      </c>
      <c r="F807" s="20">
        <f>IFERROR(__xludf.DUMMYFUNCTION("""COMPUTED_VALUE"""),0.3114567464285714)</f>
        <v>0.3114567464</v>
      </c>
      <c r="G807" s="20"/>
      <c r="H807" s="23"/>
      <c r="J807" s="22"/>
    </row>
    <row r="808">
      <c r="A808" s="24">
        <f>IFERROR(__xludf.DUMMYFUNCTION("""COMPUTED_VALUE"""),45368.0)</f>
        <v>45368</v>
      </c>
      <c r="B808" s="20">
        <f>IFERROR(__xludf.DUMMYFUNCTION("""COMPUTED_VALUE"""),0.48874999999999996)</f>
        <v>0.48875</v>
      </c>
      <c r="C808" s="21">
        <f>IFERROR(__xludf.DUMMYFUNCTION("""COMPUTED_VALUE"""),0.38949999999999996)</f>
        <v>0.3895</v>
      </c>
      <c r="D808" s="25">
        <f>IFERROR(__xludf.DUMMYFUNCTION("""COMPUTED_VALUE"""),0.65)</f>
        <v>0.65</v>
      </c>
      <c r="E808" s="20">
        <f>IFERROR(__xludf.DUMMYFUNCTION("""COMPUTED_VALUE"""),0.3004407142857143)</f>
        <v>0.3004407143</v>
      </c>
      <c r="F808" s="20">
        <f>IFERROR(__xludf.DUMMYFUNCTION("""COMPUTED_VALUE"""),0.31217249999999996)</f>
        <v>0.3121725</v>
      </c>
      <c r="G808" s="20"/>
      <c r="H808" s="23"/>
      <c r="J808" s="22"/>
    </row>
    <row r="809">
      <c r="A809" s="24">
        <f>IFERROR(__xludf.DUMMYFUNCTION("""COMPUTED_VALUE"""),45369.0)</f>
        <v>45369</v>
      </c>
      <c r="B809" s="20">
        <f>IFERROR(__xludf.DUMMYFUNCTION("""COMPUTED_VALUE"""),0.48874999999999996)</f>
        <v>0.48875</v>
      </c>
      <c r="C809" s="21">
        <f>IFERROR(__xludf.DUMMYFUNCTION("""COMPUTED_VALUE"""),0.38949999999999996)</f>
        <v>0.3895</v>
      </c>
      <c r="D809" s="25">
        <f>IFERROR(__xludf.DUMMYFUNCTION("""COMPUTED_VALUE"""),0.65)</f>
        <v>0.65</v>
      </c>
      <c r="E809" s="20">
        <f>IFERROR(__xludf.DUMMYFUNCTION("""COMPUTED_VALUE"""),0.3015871428571429)</f>
        <v>0.3015871429</v>
      </c>
      <c r="F809" s="20">
        <f>IFERROR(__xludf.DUMMYFUNCTION("""COMPUTED_VALUE"""),0.3173222571428571)</f>
        <v>0.3173222571</v>
      </c>
      <c r="G809" s="20"/>
      <c r="H809" s="23"/>
      <c r="J809" s="22"/>
    </row>
    <row r="810">
      <c r="A810" s="24">
        <f>IFERROR(__xludf.DUMMYFUNCTION("""COMPUTED_VALUE"""),45370.0)</f>
        <v>45370</v>
      </c>
      <c r="B810" s="20">
        <f>IFERROR(__xludf.DUMMYFUNCTION("""COMPUTED_VALUE"""),0.48874999999999996)</f>
        <v>0.48875</v>
      </c>
      <c r="C810" s="21">
        <f>IFERROR(__xludf.DUMMYFUNCTION("""COMPUTED_VALUE"""),0.38949999999999996)</f>
        <v>0.3895</v>
      </c>
      <c r="D810" s="25">
        <f>IFERROR(__xludf.DUMMYFUNCTION("""COMPUTED_VALUE"""),0.65)</f>
        <v>0.65</v>
      </c>
      <c r="E810" s="20">
        <f>IFERROR(__xludf.DUMMYFUNCTION("""COMPUTED_VALUE"""),0.3062492857142857)</f>
        <v>0.3062492857</v>
      </c>
      <c r="F810" s="20">
        <f>IFERROR(__xludf.DUMMYFUNCTION("""COMPUTED_VALUE"""),0.3229225607142857)</f>
        <v>0.3229225607</v>
      </c>
      <c r="G810" s="20"/>
      <c r="H810" s="23"/>
      <c r="J810" s="22"/>
    </row>
    <row r="811">
      <c r="A811" s="24">
        <f>IFERROR(__xludf.DUMMYFUNCTION("""COMPUTED_VALUE"""),45371.0)</f>
        <v>45371</v>
      </c>
      <c r="B811" s="20">
        <f>IFERROR(__xludf.DUMMYFUNCTION("""COMPUTED_VALUE"""),0.48874999999999996)</f>
        <v>0.48875</v>
      </c>
      <c r="C811" s="21">
        <f>IFERROR(__xludf.DUMMYFUNCTION("""COMPUTED_VALUE"""),0.38949999999999996)</f>
        <v>0.3895</v>
      </c>
      <c r="D811" s="25">
        <f>IFERROR(__xludf.DUMMYFUNCTION("""COMPUTED_VALUE"""),0.65)</f>
        <v>0.65</v>
      </c>
      <c r="E811" s="20">
        <f>IFERROR(__xludf.DUMMYFUNCTION("""COMPUTED_VALUE"""),0.3110642857142857)</f>
        <v>0.3110642857</v>
      </c>
      <c r="F811" s="20">
        <f>IFERROR(__xludf.DUMMYFUNCTION("""COMPUTED_VALUE"""),0.32677991071428575)</f>
        <v>0.3267799107</v>
      </c>
      <c r="G811" s="20"/>
      <c r="H811" s="23"/>
      <c r="J811" s="22"/>
    </row>
    <row r="812">
      <c r="A812" s="24">
        <f>IFERROR(__xludf.DUMMYFUNCTION("""COMPUTED_VALUE"""),45372.0)</f>
        <v>45372</v>
      </c>
      <c r="B812" s="20">
        <f>IFERROR(__xludf.DUMMYFUNCTION("""COMPUTED_VALUE"""),0.48874999999999996)</f>
        <v>0.48875</v>
      </c>
      <c r="C812" s="21">
        <f>IFERROR(__xludf.DUMMYFUNCTION("""COMPUTED_VALUE"""),0.38949999999999996)</f>
        <v>0.3895</v>
      </c>
      <c r="D812" s="25">
        <f>IFERROR(__xludf.DUMMYFUNCTION("""COMPUTED_VALUE"""),0.65)</f>
        <v>0.65</v>
      </c>
      <c r="E812" s="20">
        <f>IFERROR(__xludf.DUMMYFUNCTION("""COMPUTED_VALUE"""),0.31396857142857143)</f>
        <v>0.3139685714</v>
      </c>
      <c r="F812" s="20">
        <f>IFERROR(__xludf.DUMMYFUNCTION("""COMPUTED_VALUE"""),0.32730726785714287)</f>
        <v>0.3273072679</v>
      </c>
      <c r="G812" s="20"/>
      <c r="H812" s="23"/>
      <c r="J812" s="22"/>
    </row>
    <row r="813">
      <c r="A813" s="24">
        <f>IFERROR(__xludf.DUMMYFUNCTION("""COMPUTED_VALUE"""),45373.0)</f>
        <v>45373</v>
      </c>
      <c r="B813" s="20">
        <f>IFERROR(__xludf.DUMMYFUNCTION("""COMPUTED_VALUE"""),0.48874999999999996)</f>
        <v>0.48875</v>
      </c>
      <c r="C813" s="21">
        <f>IFERROR(__xludf.DUMMYFUNCTION("""COMPUTED_VALUE"""),0.38949999999999996)</f>
        <v>0.3895</v>
      </c>
      <c r="D813" s="25">
        <f>IFERROR(__xludf.DUMMYFUNCTION("""COMPUTED_VALUE"""),0.65)</f>
        <v>0.65</v>
      </c>
      <c r="E813" s="20">
        <f>IFERROR(__xludf.DUMMYFUNCTION("""COMPUTED_VALUE"""),0.31244)</f>
        <v>0.31244</v>
      </c>
      <c r="F813" s="20">
        <f>IFERROR(__xludf.DUMMYFUNCTION("""COMPUTED_VALUE"""),0.3284273285714285)</f>
        <v>0.3284273286</v>
      </c>
      <c r="G813" s="20"/>
      <c r="H813" s="23"/>
      <c r="J813" s="22"/>
    </row>
    <row r="814">
      <c r="A814" s="24">
        <f>IFERROR(__xludf.DUMMYFUNCTION("""COMPUTED_VALUE"""),45374.0)</f>
        <v>45374</v>
      </c>
      <c r="B814" s="20">
        <f>IFERROR(__xludf.DUMMYFUNCTION("""COMPUTED_VALUE"""),0.48874999999999996)</f>
        <v>0.48875</v>
      </c>
      <c r="C814" s="21">
        <f>IFERROR(__xludf.DUMMYFUNCTION("""COMPUTED_VALUE"""),0.38949999999999996)</f>
        <v>0.3895</v>
      </c>
      <c r="D814" s="25">
        <f>IFERROR(__xludf.DUMMYFUNCTION("""COMPUTED_VALUE"""),0.65)</f>
        <v>0.65</v>
      </c>
      <c r="E814" s="20">
        <f>IFERROR(__xludf.DUMMYFUNCTION("""COMPUTED_VALUE"""),0.3123635714285714)</f>
        <v>0.3123635714</v>
      </c>
      <c r="F814" s="20">
        <f>IFERROR(__xludf.DUMMYFUNCTION("""COMPUTED_VALUE"""),0.3295473892857142)</f>
        <v>0.3295473893</v>
      </c>
      <c r="G814" s="20"/>
      <c r="H814" s="23"/>
      <c r="J814" s="22"/>
    </row>
    <row r="815">
      <c r="A815" s="24">
        <f>IFERROR(__xludf.DUMMYFUNCTION("""COMPUTED_VALUE"""),45375.0)</f>
        <v>45375</v>
      </c>
      <c r="B815" s="20">
        <f>IFERROR(__xludf.DUMMYFUNCTION("""COMPUTED_VALUE"""),0.48874999999999996)</f>
        <v>0.48875</v>
      </c>
      <c r="C815" s="21">
        <f>IFERROR(__xludf.DUMMYFUNCTION("""COMPUTED_VALUE"""),0.38949999999999996)</f>
        <v>0.3895</v>
      </c>
      <c r="D815" s="25">
        <f>IFERROR(__xludf.DUMMYFUNCTION("""COMPUTED_VALUE"""),0.65)</f>
        <v>0.65</v>
      </c>
      <c r="E815" s="20">
        <f>IFERROR(__xludf.DUMMYFUNCTION("""COMPUTED_VALUE"""),0.3122871428571429)</f>
        <v>0.3122871429</v>
      </c>
      <c r="F815" s="20">
        <f>IFERROR(__xludf.DUMMYFUNCTION("""COMPUTED_VALUE"""),0.3306674499999999)</f>
        <v>0.33066745</v>
      </c>
      <c r="G815" s="20"/>
      <c r="H815" s="23"/>
      <c r="J815" s="22"/>
    </row>
    <row r="816">
      <c r="A816" s="24">
        <f>IFERROR(__xludf.DUMMYFUNCTION("""COMPUTED_VALUE"""),45376.0)</f>
        <v>45376</v>
      </c>
      <c r="B816" s="20">
        <f>IFERROR(__xludf.DUMMYFUNCTION("""COMPUTED_VALUE"""),0.4626111111111111)</f>
        <v>0.4626111111</v>
      </c>
      <c r="C816" s="21">
        <f>IFERROR(__xludf.DUMMYFUNCTION("""COMPUTED_VALUE"""),0.381)</f>
        <v>0.381</v>
      </c>
      <c r="D816" s="25">
        <f>IFERROR(__xludf.DUMMYFUNCTION("""COMPUTED_VALUE"""),0.5900000000000001)</f>
        <v>0.59</v>
      </c>
      <c r="E816" s="20">
        <f>IFERROR(__xludf.DUMMYFUNCTION("""COMPUTED_VALUE"""),0.3122107142857143)</f>
        <v>0.3122107143</v>
      </c>
      <c r="F816" s="20">
        <f>IFERROR(__xludf.DUMMYFUNCTION("""COMPUTED_VALUE"""),0.3304144714285714)</f>
        <v>0.3304144714</v>
      </c>
      <c r="G816" s="20"/>
      <c r="H816" s="23"/>
      <c r="J816" s="22"/>
    </row>
    <row r="817">
      <c r="A817" s="24">
        <f>IFERROR(__xludf.DUMMYFUNCTION("""COMPUTED_VALUE"""),45377.0)</f>
        <v>45377</v>
      </c>
      <c r="B817" s="20">
        <f>IFERROR(__xludf.DUMMYFUNCTION("""COMPUTED_VALUE"""),0.4626111111111111)</f>
        <v>0.4626111111</v>
      </c>
      <c r="C817" s="21">
        <f>IFERROR(__xludf.DUMMYFUNCTION("""COMPUTED_VALUE"""),0.381)</f>
        <v>0.381</v>
      </c>
      <c r="D817" s="25">
        <f>IFERROR(__xludf.DUMMYFUNCTION("""COMPUTED_VALUE"""),0.5900000000000001)</f>
        <v>0.59</v>
      </c>
      <c r="E817" s="20">
        <f>IFERROR(__xludf.DUMMYFUNCTION("""COMPUTED_VALUE"""),0.31129357142857145)</f>
        <v>0.3112935714</v>
      </c>
      <c r="F817" s="20">
        <f>IFERROR(__xludf.DUMMYFUNCTION("""COMPUTED_VALUE"""),0.32831077499999994)</f>
        <v>0.328310775</v>
      </c>
      <c r="G817" s="20"/>
      <c r="H817" s="23"/>
      <c r="J817" s="22"/>
    </row>
    <row r="818">
      <c r="A818" s="24">
        <f>IFERROR(__xludf.DUMMYFUNCTION("""COMPUTED_VALUE"""),45378.0)</f>
        <v>45378</v>
      </c>
      <c r="B818" s="20">
        <f>IFERROR(__xludf.DUMMYFUNCTION("""COMPUTED_VALUE"""),0.4626111111111111)</f>
        <v>0.4626111111</v>
      </c>
      <c r="C818" s="21">
        <f>IFERROR(__xludf.DUMMYFUNCTION("""COMPUTED_VALUE"""),0.381)</f>
        <v>0.381</v>
      </c>
      <c r="D818" s="25">
        <f>IFERROR(__xludf.DUMMYFUNCTION("""COMPUTED_VALUE"""),0.5900000000000001)</f>
        <v>0.59</v>
      </c>
      <c r="E818" s="20">
        <f>IFERROR(__xludf.DUMMYFUNCTION("""COMPUTED_VALUE"""),0.30945928571428577)</f>
        <v>0.3094592857</v>
      </c>
      <c r="F818" s="20">
        <f>IFERROR(__xludf.DUMMYFUNCTION("""COMPUTED_VALUE"""),0.32966508928571425)</f>
        <v>0.3296650893</v>
      </c>
      <c r="G818" s="20"/>
      <c r="H818" s="23"/>
      <c r="J818" s="22"/>
    </row>
    <row r="819">
      <c r="A819" s="24">
        <f>IFERROR(__xludf.DUMMYFUNCTION("""COMPUTED_VALUE"""),45379.0)</f>
        <v>45379</v>
      </c>
      <c r="B819" s="20">
        <f>IFERROR(__xludf.DUMMYFUNCTION("""COMPUTED_VALUE"""),0.4626111111111111)</f>
        <v>0.4626111111</v>
      </c>
      <c r="C819" s="21">
        <f>IFERROR(__xludf.DUMMYFUNCTION("""COMPUTED_VALUE"""),0.381)</f>
        <v>0.381</v>
      </c>
      <c r="D819" s="25">
        <f>IFERROR(__xludf.DUMMYFUNCTION("""COMPUTED_VALUE"""),0.5900000000000001)</f>
        <v>0.59</v>
      </c>
      <c r="E819" s="20">
        <f>IFERROR(__xludf.DUMMYFUNCTION("""COMPUTED_VALUE"""),0.30961214285714284)</f>
        <v>0.3096121429</v>
      </c>
      <c r="F819" s="20">
        <f>IFERROR(__xludf.DUMMYFUNCTION("""COMPUTED_VALUE"""),0.3330298571428571)</f>
        <v>0.3330298571</v>
      </c>
      <c r="G819" s="20"/>
      <c r="H819" s="23"/>
      <c r="J819" s="22"/>
    </row>
    <row r="820">
      <c r="A820" s="24">
        <f>IFERROR(__xludf.DUMMYFUNCTION("""COMPUTED_VALUE"""),45380.0)</f>
        <v>45380</v>
      </c>
      <c r="B820" s="20">
        <f>IFERROR(__xludf.DUMMYFUNCTION("""COMPUTED_VALUE"""),0.4626111111111111)</f>
        <v>0.4626111111</v>
      </c>
      <c r="C820" s="21">
        <f>IFERROR(__xludf.DUMMYFUNCTION("""COMPUTED_VALUE"""),0.381)</f>
        <v>0.381</v>
      </c>
      <c r="D820" s="25">
        <f>IFERROR(__xludf.DUMMYFUNCTION("""COMPUTED_VALUE"""),0.5900000000000001)</f>
        <v>0.59</v>
      </c>
      <c r="E820" s="20">
        <f>IFERROR(__xludf.DUMMYFUNCTION("""COMPUTED_VALUE"""),0.31114071428571427)</f>
        <v>0.3111407143</v>
      </c>
      <c r="F820" s="20">
        <f>IFERROR(__xludf.DUMMYFUNCTION("""COMPUTED_VALUE"""),0.33457753571428567)</f>
        <v>0.3345775357</v>
      </c>
      <c r="G820" s="20"/>
      <c r="H820" s="23"/>
      <c r="J820" s="22"/>
    </row>
    <row r="821">
      <c r="A821" s="24">
        <f>IFERROR(__xludf.DUMMYFUNCTION("""COMPUTED_VALUE"""),45381.0)</f>
        <v>45381</v>
      </c>
      <c r="B821" s="20">
        <f>IFERROR(__xludf.DUMMYFUNCTION("""COMPUTED_VALUE"""),0.4626111111111111)</f>
        <v>0.4626111111</v>
      </c>
      <c r="C821" s="21">
        <f>IFERROR(__xludf.DUMMYFUNCTION("""COMPUTED_VALUE"""),0.381)</f>
        <v>0.381</v>
      </c>
      <c r="D821" s="25">
        <f>IFERROR(__xludf.DUMMYFUNCTION("""COMPUTED_VALUE"""),0.5900000000000001)</f>
        <v>0.59</v>
      </c>
      <c r="E821" s="20">
        <f>IFERROR(__xludf.DUMMYFUNCTION("""COMPUTED_VALUE"""),0.31114071428571427)</f>
        <v>0.3111407143</v>
      </c>
      <c r="F821" s="20">
        <f>IFERROR(__xludf.DUMMYFUNCTION("""COMPUTED_VALUE"""),0.33612521428571424)</f>
        <v>0.3361252143</v>
      </c>
      <c r="G821" s="20"/>
      <c r="H821" s="23"/>
      <c r="J821" s="22"/>
    </row>
    <row r="822">
      <c r="A822" s="24">
        <f>IFERROR(__xludf.DUMMYFUNCTION("""COMPUTED_VALUE"""),45382.0)</f>
        <v>45382</v>
      </c>
      <c r="B822" s="20">
        <f>IFERROR(__xludf.DUMMYFUNCTION("""COMPUTED_VALUE"""),0.4626111111111111)</f>
        <v>0.4626111111</v>
      </c>
      <c r="C822" s="21">
        <f>IFERROR(__xludf.DUMMYFUNCTION("""COMPUTED_VALUE"""),0.381)</f>
        <v>0.381</v>
      </c>
      <c r="D822" s="25">
        <f>IFERROR(__xludf.DUMMYFUNCTION("""COMPUTED_VALUE"""),0.5900000000000001)</f>
        <v>0.59</v>
      </c>
      <c r="E822" s="20">
        <f>IFERROR(__xludf.DUMMYFUNCTION("""COMPUTED_VALUE"""),0.31114071428571427)</f>
        <v>0.3111407143</v>
      </c>
      <c r="F822" s="20">
        <f>IFERROR(__xludf.DUMMYFUNCTION("""COMPUTED_VALUE"""),0.33767289285714286)</f>
        <v>0.3376728929</v>
      </c>
      <c r="G822" s="20"/>
      <c r="H822" s="23"/>
      <c r="J822" s="22"/>
    </row>
    <row r="823">
      <c r="A823" s="24">
        <f>IFERROR(__xludf.DUMMYFUNCTION("""COMPUTED_VALUE"""),45383.0)</f>
        <v>45383</v>
      </c>
      <c r="B823" s="20">
        <f>IFERROR(__xludf.DUMMYFUNCTION("""COMPUTED_VALUE"""),0.4626111111111111)</f>
        <v>0.4626111111</v>
      </c>
      <c r="C823" s="21">
        <f>IFERROR(__xludf.DUMMYFUNCTION("""COMPUTED_VALUE"""),0.381)</f>
        <v>0.381</v>
      </c>
      <c r="D823" s="25">
        <f>IFERROR(__xludf.DUMMYFUNCTION("""COMPUTED_VALUE"""),0.5900000000000001)</f>
        <v>0.59</v>
      </c>
      <c r="E823" s="20">
        <f>IFERROR(__xludf.DUMMYFUNCTION("""COMPUTED_VALUE"""),0.311905)</f>
        <v>0.311905</v>
      </c>
      <c r="F823" s="20">
        <f>IFERROR(__xludf.DUMMYFUNCTION("""COMPUTED_VALUE"""),0.3380626785714286)</f>
        <v>0.3380626786</v>
      </c>
      <c r="G823" s="20"/>
      <c r="H823" s="23"/>
      <c r="J823" s="22"/>
    </row>
    <row r="824">
      <c r="A824" s="24">
        <f>IFERROR(__xludf.DUMMYFUNCTION("""COMPUTED_VALUE"""),45384.0)</f>
        <v>45384</v>
      </c>
      <c r="B824" s="20">
        <f>IFERROR(__xludf.DUMMYFUNCTION("""COMPUTED_VALUE"""),0.4626111111111111)</f>
        <v>0.4626111111</v>
      </c>
      <c r="C824" s="21">
        <f>IFERROR(__xludf.DUMMYFUNCTION("""COMPUTED_VALUE"""),0.381)</f>
        <v>0.381</v>
      </c>
      <c r="D824" s="25">
        <f>IFERROR(__xludf.DUMMYFUNCTION("""COMPUTED_VALUE"""),0.5900000000000001)</f>
        <v>0.59</v>
      </c>
      <c r="E824" s="20">
        <f>IFERROR(__xludf.DUMMYFUNCTION("""COMPUTED_VALUE"""),0.31114071428571427)</f>
        <v>0.3111407143</v>
      </c>
      <c r="F824" s="20">
        <f>IFERROR(__xludf.DUMMYFUNCTION("""COMPUTED_VALUE"""),0.3376648678571429)</f>
        <v>0.3376648679</v>
      </c>
      <c r="G824" s="20"/>
      <c r="H824" s="23"/>
      <c r="J824" s="22"/>
    </row>
    <row r="825">
      <c r="A825" s="24">
        <f>IFERROR(__xludf.DUMMYFUNCTION("""COMPUTED_VALUE"""),45385.0)</f>
        <v>45385</v>
      </c>
      <c r="B825" s="20">
        <f>IFERROR(__xludf.DUMMYFUNCTION("""COMPUTED_VALUE"""),0.4626111111111111)</f>
        <v>0.4626111111</v>
      </c>
      <c r="C825" s="21">
        <f>IFERROR(__xludf.DUMMYFUNCTION("""COMPUTED_VALUE"""),0.381)</f>
        <v>0.381</v>
      </c>
      <c r="D825" s="25">
        <f>IFERROR(__xludf.DUMMYFUNCTION("""COMPUTED_VALUE"""),0.5900000000000001)</f>
        <v>0.59</v>
      </c>
      <c r="E825" s="20">
        <f>IFERROR(__xludf.DUMMYFUNCTION("""COMPUTED_VALUE"""),0.3096885714285714)</f>
        <v>0.3096885714</v>
      </c>
      <c r="F825" s="20">
        <f>IFERROR(__xludf.DUMMYFUNCTION("""COMPUTED_VALUE"""),0.33518781785714286)</f>
        <v>0.3351878179</v>
      </c>
      <c r="G825" s="20"/>
      <c r="H825" s="23"/>
      <c r="J825" s="22"/>
    </row>
    <row r="826">
      <c r="A826" s="24">
        <f>IFERROR(__xludf.DUMMYFUNCTION("""COMPUTED_VALUE"""),45386.0)</f>
        <v>45386</v>
      </c>
      <c r="B826" s="20">
        <f>IFERROR(__xludf.DUMMYFUNCTION("""COMPUTED_VALUE"""),0.4626111111111111)</f>
        <v>0.4626111111</v>
      </c>
      <c r="C826" s="21">
        <f>IFERROR(__xludf.DUMMYFUNCTION("""COMPUTED_VALUE"""),0.381)</f>
        <v>0.381</v>
      </c>
      <c r="D826" s="25">
        <f>IFERROR(__xludf.DUMMYFUNCTION("""COMPUTED_VALUE"""),0.5900000000000001)</f>
        <v>0.59</v>
      </c>
      <c r="E826" s="20">
        <f>IFERROR(__xludf.DUMMYFUNCTION("""COMPUTED_VALUE"""),0.30663142857142855)</f>
        <v>0.3066314286</v>
      </c>
      <c r="F826" s="20">
        <f>IFERROR(__xludf.DUMMYFUNCTION("""COMPUTED_VALUE"""),0.33308030000000005)</f>
        <v>0.3330803</v>
      </c>
      <c r="G826" s="20"/>
      <c r="H826" s="23"/>
      <c r="J826" s="22"/>
    </row>
    <row r="827">
      <c r="A827" s="24">
        <f>IFERROR(__xludf.DUMMYFUNCTION("""COMPUTED_VALUE"""),45387.0)</f>
        <v>45387</v>
      </c>
      <c r="B827" s="20">
        <f>IFERROR(__xludf.DUMMYFUNCTION("""COMPUTED_VALUE"""),0.4626111111111111)</f>
        <v>0.4626111111</v>
      </c>
      <c r="C827" s="21">
        <f>IFERROR(__xludf.DUMMYFUNCTION("""COMPUTED_VALUE"""),0.381)</f>
        <v>0.381</v>
      </c>
      <c r="D827" s="25">
        <f>IFERROR(__xludf.DUMMYFUNCTION("""COMPUTED_VALUE"""),0.5900000000000001)</f>
        <v>0.59</v>
      </c>
      <c r="E827" s="20">
        <f>IFERROR(__xludf.DUMMYFUNCTION("""COMPUTED_VALUE"""),0.3064021428571429)</f>
        <v>0.3064021429</v>
      </c>
      <c r="F827" s="20">
        <f>IFERROR(__xludf.DUMMYFUNCTION("""COMPUTED_VALUE"""),0.33214366785714283)</f>
        <v>0.3321436679</v>
      </c>
      <c r="G827" s="20"/>
      <c r="H827" s="23"/>
      <c r="J827" s="22"/>
    </row>
    <row r="828">
      <c r="A828" s="24">
        <f>IFERROR(__xludf.DUMMYFUNCTION("""COMPUTED_VALUE"""),45388.0)</f>
        <v>45388</v>
      </c>
      <c r="B828" s="20">
        <f>IFERROR(__xludf.DUMMYFUNCTION("""COMPUTED_VALUE"""),0.4626111111111111)</f>
        <v>0.4626111111</v>
      </c>
      <c r="C828" s="21">
        <f>IFERROR(__xludf.DUMMYFUNCTION("""COMPUTED_VALUE"""),0.381)</f>
        <v>0.381</v>
      </c>
      <c r="D828" s="25">
        <f>IFERROR(__xludf.DUMMYFUNCTION("""COMPUTED_VALUE"""),0.5900000000000001)</f>
        <v>0.59</v>
      </c>
      <c r="E828" s="20">
        <f>IFERROR(__xludf.DUMMYFUNCTION("""COMPUTED_VALUE"""),0.30426214285714287)</f>
        <v>0.3042621429</v>
      </c>
      <c r="F828" s="20">
        <f>IFERROR(__xludf.DUMMYFUNCTION("""COMPUTED_VALUE"""),0.33120703571428567)</f>
        <v>0.3312070357</v>
      </c>
      <c r="G828" s="20"/>
      <c r="H828" s="23"/>
      <c r="J828" s="22"/>
    </row>
    <row r="829">
      <c r="A829" s="24">
        <f>IFERROR(__xludf.DUMMYFUNCTION("""COMPUTED_VALUE"""),45389.0)</f>
        <v>45389</v>
      </c>
      <c r="B829" s="20">
        <f>IFERROR(__xludf.DUMMYFUNCTION("""COMPUTED_VALUE"""),0.4626111111111111)</f>
        <v>0.4626111111</v>
      </c>
      <c r="C829" s="21">
        <f>IFERROR(__xludf.DUMMYFUNCTION("""COMPUTED_VALUE"""),0.381)</f>
        <v>0.381</v>
      </c>
      <c r="D829" s="25">
        <f>IFERROR(__xludf.DUMMYFUNCTION("""COMPUTED_VALUE"""),0.5900000000000001)</f>
        <v>0.59</v>
      </c>
      <c r="E829" s="20">
        <f>IFERROR(__xludf.DUMMYFUNCTION("""COMPUTED_VALUE"""),0.30212214285714284)</f>
        <v>0.3021221429</v>
      </c>
      <c r="F829" s="20">
        <f>IFERROR(__xludf.DUMMYFUNCTION("""COMPUTED_VALUE"""),0.3302704035714286)</f>
        <v>0.3302704036</v>
      </c>
      <c r="G829" s="20"/>
      <c r="H829" s="23"/>
      <c r="J829" s="22"/>
    </row>
    <row r="830">
      <c r="A830" s="24">
        <f>IFERROR(__xludf.DUMMYFUNCTION("""COMPUTED_VALUE"""),45390.0)</f>
        <v>45390</v>
      </c>
      <c r="B830" s="20">
        <f>IFERROR(__xludf.DUMMYFUNCTION("""COMPUTED_VALUE"""),0.46061111111111125)</f>
        <v>0.4606111111</v>
      </c>
      <c r="C830" s="21">
        <f>IFERROR(__xludf.DUMMYFUNCTION("""COMPUTED_VALUE"""),0.3675)</f>
        <v>0.3675</v>
      </c>
      <c r="D830" s="25">
        <f>IFERROR(__xludf.DUMMYFUNCTION("""COMPUTED_VALUE"""),0.5875)</f>
        <v>0.5875</v>
      </c>
      <c r="E830" s="20">
        <f>IFERROR(__xludf.DUMMYFUNCTION("""COMPUTED_VALUE"""),0.29952357142857144)</f>
        <v>0.2995235714</v>
      </c>
      <c r="F830" s="20">
        <f>IFERROR(__xludf.DUMMYFUNCTION("""COMPUTED_VALUE"""),0.33150319642857135)</f>
        <v>0.3315031964</v>
      </c>
      <c r="G830" s="20"/>
      <c r="H830" s="23"/>
      <c r="J830" s="22"/>
    </row>
    <row r="831">
      <c r="A831" s="24">
        <f>IFERROR(__xludf.DUMMYFUNCTION("""COMPUTED_VALUE"""),45391.0)</f>
        <v>45391</v>
      </c>
      <c r="B831" s="20">
        <f>IFERROR(__xludf.DUMMYFUNCTION("""COMPUTED_VALUE"""),0.46061111111111125)</f>
        <v>0.4606111111</v>
      </c>
      <c r="C831" s="21">
        <f>IFERROR(__xludf.DUMMYFUNCTION("""COMPUTED_VALUE"""),0.3675)</f>
        <v>0.3675</v>
      </c>
      <c r="D831" s="25">
        <f>IFERROR(__xludf.DUMMYFUNCTION("""COMPUTED_VALUE"""),0.5875)</f>
        <v>0.5875</v>
      </c>
      <c r="E831" s="20">
        <f>IFERROR(__xludf.DUMMYFUNCTION("""COMPUTED_VALUE"""),0.2966192857142857)</f>
        <v>0.2966192857</v>
      </c>
      <c r="F831" s="20">
        <f>IFERROR(__xludf.DUMMYFUNCTION("""COMPUTED_VALUE"""),0.3346302714285714)</f>
        <v>0.3346302714</v>
      </c>
      <c r="G831" s="20"/>
      <c r="H831" s="23"/>
      <c r="J831" s="22"/>
    </row>
    <row r="832">
      <c r="A832" s="24">
        <f>IFERROR(__xludf.DUMMYFUNCTION("""COMPUTED_VALUE"""),45392.0)</f>
        <v>45392</v>
      </c>
      <c r="B832" s="20">
        <f>IFERROR(__xludf.DUMMYFUNCTION("""COMPUTED_VALUE"""),0.46061111111111125)</f>
        <v>0.4606111111</v>
      </c>
      <c r="C832" s="21">
        <f>IFERROR(__xludf.DUMMYFUNCTION("""COMPUTED_VALUE"""),0.3675)</f>
        <v>0.3675</v>
      </c>
      <c r="D832" s="25">
        <f>IFERROR(__xludf.DUMMYFUNCTION("""COMPUTED_VALUE"""),0.5875)</f>
        <v>0.5875</v>
      </c>
      <c r="E832" s="20">
        <f>IFERROR(__xludf.DUMMYFUNCTION("""COMPUTED_VALUE"""),0.2970014285714285)</f>
        <v>0.2970014286</v>
      </c>
      <c r="F832" s="20">
        <f>IFERROR(__xludf.DUMMYFUNCTION("""COMPUTED_VALUE"""),0.33805618214285715)</f>
        <v>0.3380561821</v>
      </c>
      <c r="G832" s="20"/>
      <c r="H832" s="23"/>
      <c r="J832" s="22"/>
    </row>
    <row r="833">
      <c r="A833" s="24">
        <f>IFERROR(__xludf.DUMMYFUNCTION("""COMPUTED_VALUE"""),45393.0)</f>
        <v>45393</v>
      </c>
      <c r="B833" s="20">
        <f>IFERROR(__xludf.DUMMYFUNCTION("""COMPUTED_VALUE"""),0.46061111111111125)</f>
        <v>0.4606111111</v>
      </c>
      <c r="C833" s="21">
        <f>IFERROR(__xludf.DUMMYFUNCTION("""COMPUTED_VALUE"""),0.3675)</f>
        <v>0.3675</v>
      </c>
      <c r="D833" s="25">
        <f>IFERROR(__xludf.DUMMYFUNCTION("""COMPUTED_VALUE"""),0.5875)</f>
        <v>0.5875</v>
      </c>
      <c r="E833" s="20">
        <f>IFERROR(__xludf.DUMMYFUNCTION("""COMPUTED_VALUE"""),0.29814785714285713)</f>
        <v>0.2981478571</v>
      </c>
      <c r="F833" s="20">
        <f>IFERROR(__xludf.DUMMYFUNCTION("""COMPUTED_VALUE"""),0.3441364571428571)</f>
        <v>0.3441364571</v>
      </c>
      <c r="G833" s="20"/>
      <c r="H833" s="23"/>
      <c r="J833" s="22"/>
    </row>
    <row r="834">
      <c r="A834" s="24">
        <f>IFERROR(__xludf.DUMMYFUNCTION("""COMPUTED_VALUE"""),45394.0)</f>
        <v>45394</v>
      </c>
      <c r="B834" s="20">
        <f>IFERROR(__xludf.DUMMYFUNCTION("""COMPUTED_VALUE"""),0.46061111111111125)</f>
        <v>0.4606111111</v>
      </c>
      <c r="C834" s="21">
        <f>IFERROR(__xludf.DUMMYFUNCTION("""COMPUTED_VALUE"""),0.3675)</f>
        <v>0.3675</v>
      </c>
      <c r="D834" s="25">
        <f>IFERROR(__xludf.DUMMYFUNCTION("""COMPUTED_VALUE"""),0.5875)</f>
        <v>0.5875</v>
      </c>
      <c r="E834" s="20">
        <f>IFERROR(__xludf.DUMMYFUNCTION("""COMPUTED_VALUE"""),0.3005171428571428)</f>
        <v>0.3005171429</v>
      </c>
      <c r="F834" s="20">
        <f>IFERROR(__xludf.DUMMYFUNCTION("""COMPUTED_VALUE"""),0.3508059964285714)</f>
        <v>0.3508059964</v>
      </c>
      <c r="G834" s="20"/>
      <c r="H834" s="23"/>
      <c r="J834" s="22"/>
    </row>
    <row r="835">
      <c r="A835" s="24">
        <f>IFERROR(__xludf.DUMMYFUNCTION("""COMPUTED_VALUE"""),45395.0)</f>
        <v>45395</v>
      </c>
      <c r="B835" s="20">
        <f>IFERROR(__xludf.DUMMYFUNCTION("""COMPUTED_VALUE"""),0.46061111111111125)</f>
        <v>0.4606111111</v>
      </c>
      <c r="C835" s="21">
        <f>IFERROR(__xludf.DUMMYFUNCTION("""COMPUTED_VALUE"""),0.3675)</f>
        <v>0.3675</v>
      </c>
      <c r="D835" s="25">
        <f>IFERROR(__xludf.DUMMYFUNCTION("""COMPUTED_VALUE"""),0.5875)</f>
        <v>0.5875</v>
      </c>
      <c r="E835" s="20">
        <f>IFERROR(__xludf.DUMMYFUNCTION("""COMPUTED_VALUE"""),0.3041857142857142)</f>
        <v>0.3041857143</v>
      </c>
      <c r="F835" s="20">
        <f>IFERROR(__xludf.DUMMYFUNCTION("""COMPUTED_VALUE"""),0.35747553571428575)</f>
        <v>0.3574755357</v>
      </c>
      <c r="G835" s="20"/>
      <c r="H835" s="23"/>
      <c r="J835" s="22"/>
    </row>
    <row r="836">
      <c r="A836" s="24">
        <f>IFERROR(__xludf.DUMMYFUNCTION("""COMPUTED_VALUE"""),45396.0)</f>
        <v>45396</v>
      </c>
      <c r="B836" s="20">
        <f>IFERROR(__xludf.DUMMYFUNCTION("""COMPUTED_VALUE"""),0.46061111111111125)</f>
        <v>0.4606111111</v>
      </c>
      <c r="C836" s="21">
        <f>IFERROR(__xludf.DUMMYFUNCTION("""COMPUTED_VALUE"""),0.3675)</f>
        <v>0.3675</v>
      </c>
      <c r="D836" s="25">
        <f>IFERROR(__xludf.DUMMYFUNCTION("""COMPUTED_VALUE"""),0.5875)</f>
        <v>0.5875</v>
      </c>
      <c r="E836" s="20">
        <f>IFERROR(__xludf.DUMMYFUNCTION("""COMPUTED_VALUE"""),0.30785428571428575)</f>
        <v>0.3078542857</v>
      </c>
      <c r="F836" s="20">
        <f>IFERROR(__xludf.DUMMYFUNCTION("""COMPUTED_VALUE"""),0.364145075)</f>
        <v>0.364145075</v>
      </c>
      <c r="G836" s="20"/>
      <c r="H836" s="23"/>
      <c r="J836" s="22"/>
    </row>
    <row r="837">
      <c r="A837" s="24">
        <f>IFERROR(__xludf.DUMMYFUNCTION("""COMPUTED_VALUE"""),45397.0)</f>
        <v>45397</v>
      </c>
      <c r="B837" s="20">
        <f>IFERROR(__xludf.DUMMYFUNCTION("""COMPUTED_VALUE"""),0.46061111111111125)</f>
        <v>0.4606111111</v>
      </c>
      <c r="C837" s="21">
        <f>IFERROR(__xludf.DUMMYFUNCTION("""COMPUTED_VALUE"""),0.3675)</f>
        <v>0.3675</v>
      </c>
      <c r="D837" s="25">
        <f>IFERROR(__xludf.DUMMYFUNCTION("""COMPUTED_VALUE"""),0.5875)</f>
        <v>0.5875</v>
      </c>
      <c r="E837" s="20">
        <f>IFERROR(__xludf.DUMMYFUNCTION("""COMPUTED_VALUE"""),0.31358642857142854)</f>
        <v>0.3135864286</v>
      </c>
      <c r="F837" s="20">
        <f>IFERROR(__xludf.DUMMYFUNCTION("""COMPUTED_VALUE"""),0.3687269678571428)</f>
        <v>0.3687269679</v>
      </c>
      <c r="G837" s="20"/>
      <c r="H837" s="23"/>
      <c r="J837" s="22"/>
    </row>
    <row r="838">
      <c r="A838" s="24">
        <f>IFERROR(__xludf.DUMMYFUNCTION("""COMPUTED_VALUE"""),45398.0)</f>
        <v>45398</v>
      </c>
      <c r="B838" s="20">
        <f>IFERROR(__xludf.DUMMYFUNCTION("""COMPUTED_VALUE"""),0.46061111111111125)</f>
        <v>0.4606111111</v>
      </c>
      <c r="C838" s="21">
        <f>IFERROR(__xludf.DUMMYFUNCTION("""COMPUTED_VALUE"""),0.3675)</f>
        <v>0.3675</v>
      </c>
      <c r="D838" s="25">
        <f>IFERROR(__xludf.DUMMYFUNCTION("""COMPUTED_VALUE"""),0.5875)</f>
        <v>0.5875</v>
      </c>
      <c r="E838" s="20">
        <f>IFERROR(__xludf.DUMMYFUNCTION("""COMPUTED_VALUE"""),0.3203121428571429)</f>
        <v>0.3203121429</v>
      </c>
      <c r="F838" s="20">
        <f>IFERROR(__xludf.DUMMYFUNCTION("""COMPUTED_VALUE"""),0.3761260178571428)</f>
        <v>0.3761260179</v>
      </c>
      <c r="G838" s="20"/>
      <c r="H838" s="23"/>
      <c r="J838" s="22"/>
    </row>
    <row r="839">
      <c r="A839" s="24">
        <f>IFERROR(__xludf.DUMMYFUNCTION("""COMPUTED_VALUE"""),45399.0)</f>
        <v>45399</v>
      </c>
      <c r="B839" s="20">
        <f>IFERROR(__xludf.DUMMYFUNCTION("""COMPUTED_VALUE"""),0.46061111111111125)</f>
        <v>0.4606111111</v>
      </c>
      <c r="C839" s="21">
        <f>IFERROR(__xludf.DUMMYFUNCTION("""COMPUTED_VALUE"""),0.3675)</f>
        <v>0.3675</v>
      </c>
      <c r="D839" s="25">
        <f>IFERROR(__xludf.DUMMYFUNCTION("""COMPUTED_VALUE"""),0.5875)</f>
        <v>0.5875</v>
      </c>
      <c r="E839" s="20">
        <f>IFERROR(__xludf.DUMMYFUNCTION("""COMPUTED_VALUE"""),0.33001857142857144)</f>
        <v>0.3300185714</v>
      </c>
      <c r="F839" s="20">
        <f>IFERROR(__xludf.DUMMYFUNCTION("""COMPUTED_VALUE"""),0.38075338571428563)</f>
        <v>0.3807533857</v>
      </c>
      <c r="G839" s="20"/>
      <c r="H839" s="23"/>
      <c r="J839" s="22"/>
    </row>
    <row r="840">
      <c r="A840" s="24">
        <f>IFERROR(__xludf.DUMMYFUNCTION("""COMPUTED_VALUE"""),45400.0)</f>
        <v>45400</v>
      </c>
      <c r="B840" s="20">
        <f>IFERROR(__xludf.DUMMYFUNCTION("""COMPUTED_VALUE"""),0.46061111111111125)</f>
        <v>0.4606111111</v>
      </c>
      <c r="C840" s="21">
        <f>IFERROR(__xludf.DUMMYFUNCTION("""COMPUTED_VALUE"""),0.3675)</f>
        <v>0.3675</v>
      </c>
      <c r="D840" s="25">
        <f>IFERROR(__xludf.DUMMYFUNCTION("""COMPUTED_VALUE"""),0.5875)</f>
        <v>0.5875</v>
      </c>
      <c r="E840" s="20">
        <f>IFERROR(__xludf.DUMMYFUNCTION("""COMPUTED_VALUE"""),0.34010714285714283)</f>
        <v>0.3401071429</v>
      </c>
      <c r="F840" s="20">
        <f>IFERROR(__xludf.DUMMYFUNCTION("""COMPUTED_VALUE"""),0.3838468321428571)</f>
        <v>0.3838468321</v>
      </c>
      <c r="G840" s="20"/>
      <c r="H840" s="23"/>
      <c r="J840" s="22"/>
    </row>
    <row r="841">
      <c r="A841" s="24">
        <f>IFERROR(__xludf.DUMMYFUNCTION("""COMPUTED_VALUE"""),45401.0)</f>
        <v>45401</v>
      </c>
      <c r="B841" s="20">
        <f>IFERROR(__xludf.DUMMYFUNCTION("""COMPUTED_VALUE"""),0.46061111111111125)</f>
        <v>0.4606111111</v>
      </c>
      <c r="C841" s="21">
        <f>IFERROR(__xludf.DUMMYFUNCTION("""COMPUTED_VALUE"""),0.3675)</f>
        <v>0.3675</v>
      </c>
      <c r="D841" s="25">
        <f>IFERROR(__xludf.DUMMYFUNCTION("""COMPUTED_VALUE"""),0.5875)</f>
        <v>0.5875</v>
      </c>
      <c r="E841" s="20">
        <f>IFERROR(__xludf.DUMMYFUNCTION("""COMPUTED_VALUE"""),0.3479792857142857)</f>
        <v>0.3479792857</v>
      </c>
      <c r="F841" s="20">
        <f>IFERROR(__xludf.DUMMYFUNCTION("""COMPUTED_VALUE"""),0.3829388607142857)</f>
        <v>0.3829388607</v>
      </c>
      <c r="G841" s="20"/>
      <c r="H841" s="23"/>
      <c r="J841" s="22"/>
    </row>
    <row r="842">
      <c r="A842" s="24">
        <f>IFERROR(__xludf.DUMMYFUNCTION("""COMPUTED_VALUE"""),45402.0)</f>
        <v>45402</v>
      </c>
      <c r="B842" s="20">
        <f>IFERROR(__xludf.DUMMYFUNCTION("""COMPUTED_VALUE"""),0.46061111111111125)</f>
        <v>0.4606111111</v>
      </c>
      <c r="C842" s="21">
        <f>IFERROR(__xludf.DUMMYFUNCTION("""COMPUTED_VALUE"""),0.3675)</f>
        <v>0.3675</v>
      </c>
      <c r="D842" s="25">
        <f>IFERROR(__xludf.DUMMYFUNCTION("""COMPUTED_VALUE"""),0.5875)</f>
        <v>0.5875</v>
      </c>
      <c r="E842" s="20">
        <f>IFERROR(__xludf.DUMMYFUNCTION("""COMPUTED_VALUE"""),0.35355857142857133)</f>
        <v>0.3535585714</v>
      </c>
      <c r="F842" s="20">
        <f>IFERROR(__xludf.DUMMYFUNCTION("""COMPUTED_VALUE"""),0.38203088928571427)</f>
        <v>0.3820308893</v>
      </c>
      <c r="G842" s="20"/>
      <c r="H842" s="23"/>
      <c r="J842" s="22"/>
    </row>
    <row r="843">
      <c r="A843" s="24">
        <f>IFERROR(__xludf.DUMMYFUNCTION("""COMPUTED_VALUE"""),45403.0)</f>
        <v>45403</v>
      </c>
      <c r="B843" s="20">
        <f>IFERROR(__xludf.DUMMYFUNCTION("""COMPUTED_VALUE"""),0.46061111111111125)</f>
        <v>0.4606111111</v>
      </c>
      <c r="C843" s="21">
        <f>IFERROR(__xludf.DUMMYFUNCTION("""COMPUTED_VALUE"""),0.3675)</f>
        <v>0.3675</v>
      </c>
      <c r="D843" s="25">
        <f>IFERROR(__xludf.DUMMYFUNCTION("""COMPUTED_VALUE"""),0.5875)</f>
        <v>0.5875</v>
      </c>
      <c r="E843" s="20">
        <f>IFERROR(__xludf.DUMMYFUNCTION("""COMPUTED_VALUE"""),0.3591378571428571)</f>
        <v>0.3591378571</v>
      </c>
      <c r="F843" s="20">
        <f>IFERROR(__xludf.DUMMYFUNCTION("""COMPUTED_VALUE"""),0.3811229178571428)</f>
        <v>0.3811229179</v>
      </c>
      <c r="G843" s="20"/>
      <c r="H843" s="23"/>
      <c r="J843" s="22"/>
    </row>
    <row r="844">
      <c r="A844" s="24">
        <f>IFERROR(__xludf.DUMMYFUNCTION("""COMPUTED_VALUE"""),45404.0)</f>
        <v>45404</v>
      </c>
      <c r="B844" s="20">
        <f>IFERROR(__xludf.DUMMYFUNCTION("""COMPUTED_VALUE"""),0.46222222222222226)</f>
        <v>0.4622222222</v>
      </c>
      <c r="C844" s="21">
        <f>IFERROR(__xludf.DUMMYFUNCTION("""COMPUTED_VALUE"""),0.3675)</f>
        <v>0.3675</v>
      </c>
      <c r="D844" s="25">
        <f>IFERROR(__xludf.DUMMYFUNCTION("""COMPUTED_VALUE"""),0.5575)</f>
        <v>0.5575</v>
      </c>
      <c r="E844" s="20">
        <f>IFERROR(__xludf.DUMMYFUNCTION("""COMPUTED_VALUE"""),0.363265)</f>
        <v>0.363265</v>
      </c>
      <c r="F844" s="20">
        <f>IFERROR(__xludf.DUMMYFUNCTION("""COMPUTED_VALUE"""),0.37815290357142856)</f>
        <v>0.3781529036</v>
      </c>
      <c r="G844" s="20"/>
      <c r="H844" s="23"/>
      <c r="J844" s="22"/>
    </row>
    <row r="845">
      <c r="A845" s="24">
        <f>IFERROR(__xludf.DUMMYFUNCTION("""COMPUTED_VALUE"""),45405.0)</f>
        <v>45405</v>
      </c>
      <c r="B845" s="20">
        <f>IFERROR(__xludf.DUMMYFUNCTION("""COMPUTED_VALUE"""),0.46222222222222226)</f>
        <v>0.4622222222</v>
      </c>
      <c r="C845" s="21">
        <f>IFERROR(__xludf.DUMMYFUNCTION("""COMPUTED_VALUE"""),0.3675)</f>
        <v>0.3675</v>
      </c>
      <c r="D845" s="25">
        <f>IFERROR(__xludf.DUMMYFUNCTION("""COMPUTED_VALUE"""),0.5575)</f>
        <v>0.5575</v>
      </c>
      <c r="E845" s="20">
        <f>IFERROR(__xludf.DUMMYFUNCTION("""COMPUTED_VALUE"""),0.3666278571428572)</f>
        <v>0.3666278571</v>
      </c>
      <c r="F845" s="20">
        <f>IFERROR(__xludf.DUMMYFUNCTION("""COMPUTED_VALUE"""),0.3718074214285714)</f>
        <v>0.3718074214</v>
      </c>
      <c r="G845" s="20"/>
      <c r="H845" s="23"/>
      <c r="J845" s="22"/>
    </row>
    <row r="846">
      <c r="A846" s="24">
        <f>IFERROR(__xludf.DUMMYFUNCTION("""COMPUTED_VALUE"""),45406.0)</f>
        <v>45406</v>
      </c>
      <c r="B846" s="20">
        <f>IFERROR(__xludf.DUMMYFUNCTION("""COMPUTED_VALUE"""),0.46222222222222226)</f>
        <v>0.4622222222</v>
      </c>
      <c r="C846" s="21">
        <f>IFERROR(__xludf.DUMMYFUNCTION("""COMPUTED_VALUE"""),0.3675)</f>
        <v>0.3675</v>
      </c>
      <c r="D846" s="25">
        <f>IFERROR(__xludf.DUMMYFUNCTION("""COMPUTED_VALUE"""),0.5575)</f>
        <v>0.5575</v>
      </c>
      <c r="E846" s="20">
        <f>IFERROR(__xludf.DUMMYFUNCTION("""COMPUTED_VALUE"""),0.3641057142857143)</f>
        <v>0.3641057143</v>
      </c>
      <c r="F846" s="20">
        <f>IFERROR(__xludf.DUMMYFUNCTION("""COMPUTED_VALUE"""),0.3690334464285714)</f>
        <v>0.3690334464</v>
      </c>
      <c r="G846" s="20"/>
      <c r="H846" s="23"/>
      <c r="J846" s="22"/>
    </row>
    <row r="847">
      <c r="A847" s="24">
        <f>IFERROR(__xludf.DUMMYFUNCTION("""COMPUTED_VALUE"""),45407.0)</f>
        <v>45407</v>
      </c>
      <c r="B847" s="20">
        <f>IFERROR(__xludf.DUMMYFUNCTION("""COMPUTED_VALUE"""),0.46222222222222226)</f>
        <v>0.4622222222</v>
      </c>
      <c r="C847" s="21">
        <f>IFERROR(__xludf.DUMMYFUNCTION("""COMPUTED_VALUE"""),0.3675)</f>
        <v>0.3675</v>
      </c>
      <c r="D847" s="25">
        <f>IFERROR(__xludf.DUMMYFUNCTION("""COMPUTED_VALUE"""),0.5575)</f>
        <v>0.5575</v>
      </c>
      <c r="E847" s="20">
        <f>IFERROR(__xludf.DUMMYFUNCTION("""COMPUTED_VALUE"""),0.3588321428571429)</f>
        <v>0.3588321429</v>
      </c>
      <c r="F847" s="20">
        <f>IFERROR(__xludf.DUMMYFUNCTION("""COMPUTED_VALUE"""),0.3653087)</f>
        <v>0.3653087</v>
      </c>
      <c r="G847" s="20"/>
      <c r="H847" s="23"/>
      <c r="J847" s="22"/>
    </row>
    <row r="848">
      <c r="A848" s="24">
        <f>IFERROR(__xludf.DUMMYFUNCTION("""COMPUTED_VALUE"""),45408.0)</f>
        <v>45408</v>
      </c>
      <c r="B848" s="20">
        <f>IFERROR(__xludf.DUMMYFUNCTION("""COMPUTED_VALUE"""),0.46222222222222226)</f>
        <v>0.4622222222</v>
      </c>
      <c r="C848" s="21">
        <f>IFERROR(__xludf.DUMMYFUNCTION("""COMPUTED_VALUE"""),0.3675)</f>
        <v>0.3675</v>
      </c>
      <c r="D848" s="25">
        <f>IFERROR(__xludf.DUMMYFUNCTION("""COMPUTED_VALUE"""),0.5575)</f>
        <v>0.5575</v>
      </c>
      <c r="E848" s="20">
        <f>IFERROR(__xludf.DUMMYFUNCTION("""COMPUTED_VALUE"""),0.3543228571428571)</f>
        <v>0.3543228571</v>
      </c>
      <c r="F848" s="20">
        <f>IFERROR(__xludf.DUMMYFUNCTION("""COMPUTED_VALUE"""),0.36292680357142854)</f>
        <v>0.3629268036</v>
      </c>
      <c r="G848" s="20"/>
      <c r="H848" s="23"/>
      <c r="J848" s="22"/>
    </row>
    <row r="849">
      <c r="A849" s="24">
        <f>IFERROR(__xludf.DUMMYFUNCTION("""COMPUTED_VALUE"""),45409.0)</f>
        <v>45409</v>
      </c>
      <c r="B849" s="20">
        <f>IFERROR(__xludf.DUMMYFUNCTION("""COMPUTED_VALUE"""),0.46222222222222226)</f>
        <v>0.4622222222</v>
      </c>
      <c r="C849" s="21">
        <f>IFERROR(__xludf.DUMMYFUNCTION("""COMPUTED_VALUE"""),0.3675)</f>
        <v>0.3675</v>
      </c>
      <c r="D849" s="25">
        <f>IFERROR(__xludf.DUMMYFUNCTION("""COMPUTED_VALUE"""),0.5575)</f>
        <v>0.5575</v>
      </c>
      <c r="E849" s="20">
        <f>IFERROR(__xludf.DUMMYFUNCTION("""COMPUTED_VALUE"""),0.34935499999999997)</f>
        <v>0.349355</v>
      </c>
      <c r="F849" s="20">
        <f>IFERROR(__xludf.DUMMYFUNCTION("""COMPUTED_VALUE"""),0.36054490714285714)</f>
        <v>0.3605449071</v>
      </c>
      <c r="G849" s="20"/>
      <c r="H849" s="23"/>
      <c r="J849" s="22"/>
    </row>
    <row r="850">
      <c r="A850" s="24">
        <f>IFERROR(__xludf.DUMMYFUNCTION("""COMPUTED_VALUE"""),45410.0)</f>
        <v>45410</v>
      </c>
      <c r="B850" s="20">
        <f>IFERROR(__xludf.DUMMYFUNCTION("""COMPUTED_VALUE"""),0.46222222222222226)</f>
        <v>0.4622222222</v>
      </c>
      <c r="C850" s="21">
        <f>IFERROR(__xludf.DUMMYFUNCTION("""COMPUTED_VALUE"""),0.3675)</f>
        <v>0.3675</v>
      </c>
      <c r="D850" s="25">
        <f>IFERROR(__xludf.DUMMYFUNCTION("""COMPUTED_VALUE"""),0.5575)</f>
        <v>0.5575</v>
      </c>
      <c r="E850" s="20">
        <f>IFERROR(__xludf.DUMMYFUNCTION("""COMPUTED_VALUE"""),0.3443871428571428)</f>
        <v>0.3443871429</v>
      </c>
      <c r="F850" s="20">
        <f>IFERROR(__xludf.DUMMYFUNCTION("""COMPUTED_VALUE"""),0.3581630107142857)</f>
        <v>0.3581630107</v>
      </c>
      <c r="G850" s="20"/>
      <c r="H850" s="23"/>
      <c r="J850" s="22"/>
    </row>
    <row r="851">
      <c r="A851" s="24">
        <f>IFERROR(__xludf.DUMMYFUNCTION("""COMPUTED_VALUE"""),45411.0)</f>
        <v>45411</v>
      </c>
      <c r="B851" s="20">
        <f>IFERROR(__xludf.DUMMYFUNCTION("""COMPUTED_VALUE"""),0.46222222222222226)</f>
        <v>0.4622222222</v>
      </c>
      <c r="C851" s="21">
        <f>IFERROR(__xludf.DUMMYFUNCTION("""COMPUTED_VALUE"""),0.3675)</f>
        <v>0.3675</v>
      </c>
      <c r="D851" s="25">
        <f>IFERROR(__xludf.DUMMYFUNCTION("""COMPUTED_VALUE"""),0.5575)</f>
        <v>0.5575</v>
      </c>
      <c r="E851" s="20">
        <f>IFERROR(__xludf.DUMMYFUNCTION("""COMPUTED_VALUE"""),0.33857857142857145)</f>
        <v>0.3385785714</v>
      </c>
      <c r="F851" s="20">
        <f>IFERROR(__xludf.DUMMYFUNCTION("""COMPUTED_VALUE"""),0.3563933071428571)</f>
        <v>0.3563933071</v>
      </c>
      <c r="G851" s="20"/>
      <c r="H851" s="23"/>
      <c r="J851" s="22"/>
    </row>
    <row r="852">
      <c r="A852" s="24">
        <f>IFERROR(__xludf.DUMMYFUNCTION("""COMPUTED_VALUE"""),45412.0)</f>
        <v>45412</v>
      </c>
      <c r="B852" s="20">
        <f>IFERROR(__xludf.DUMMYFUNCTION("""COMPUTED_VALUE"""),0.46222222222222226)</f>
        <v>0.4622222222</v>
      </c>
      <c r="C852" s="21">
        <f>IFERROR(__xludf.DUMMYFUNCTION("""COMPUTED_VALUE"""),0.3675)</f>
        <v>0.3675</v>
      </c>
      <c r="D852" s="25">
        <f>IFERROR(__xludf.DUMMYFUNCTION("""COMPUTED_VALUE"""),0.5575)</f>
        <v>0.5575</v>
      </c>
      <c r="E852" s="20">
        <f>IFERROR(__xludf.DUMMYFUNCTION("""COMPUTED_VALUE"""),0.3313942857142857)</f>
        <v>0.3313942857</v>
      </c>
      <c r="F852" s="20">
        <f>IFERROR(__xludf.DUMMYFUNCTION("""COMPUTED_VALUE"""),0.3573364357142857)</f>
        <v>0.3573364357</v>
      </c>
      <c r="G852" s="20"/>
      <c r="H852" s="23"/>
      <c r="J852" s="22"/>
    </row>
    <row r="853">
      <c r="A853" s="24">
        <f>IFERROR(__xludf.DUMMYFUNCTION("""COMPUTED_VALUE"""),45413.0)</f>
        <v>45413</v>
      </c>
      <c r="B853" s="20">
        <f>IFERROR(__xludf.DUMMYFUNCTION("""COMPUTED_VALUE"""),0.46222222222222226)</f>
        <v>0.4622222222</v>
      </c>
      <c r="C853" s="21">
        <f>IFERROR(__xludf.DUMMYFUNCTION("""COMPUTED_VALUE"""),0.3675)</f>
        <v>0.3675</v>
      </c>
      <c r="D853" s="25">
        <f>IFERROR(__xludf.DUMMYFUNCTION("""COMPUTED_VALUE"""),0.5575)</f>
        <v>0.5575</v>
      </c>
      <c r="E853" s="20">
        <f>IFERROR(__xludf.DUMMYFUNCTION("""COMPUTED_VALUE"""),0.32612071428571426)</f>
        <v>0.3261207143</v>
      </c>
      <c r="F853" s="20">
        <f>IFERROR(__xludf.DUMMYFUNCTION("""COMPUTED_VALUE"""),0.35754470357142853)</f>
        <v>0.3575447036</v>
      </c>
      <c r="G853" s="20"/>
      <c r="H853" s="23"/>
      <c r="J853" s="22"/>
    </row>
    <row r="854">
      <c r="A854" s="24">
        <f>IFERROR(__xludf.DUMMYFUNCTION("""COMPUTED_VALUE"""),45414.0)</f>
        <v>45414</v>
      </c>
      <c r="B854" s="20">
        <f>IFERROR(__xludf.DUMMYFUNCTION("""COMPUTED_VALUE"""),0.46222222222222226)</f>
        <v>0.4622222222</v>
      </c>
      <c r="C854" s="21">
        <f>IFERROR(__xludf.DUMMYFUNCTION("""COMPUTED_VALUE"""),0.3675)</f>
        <v>0.3675</v>
      </c>
      <c r="D854" s="25">
        <f>IFERROR(__xludf.DUMMYFUNCTION("""COMPUTED_VALUE"""),0.5575)</f>
        <v>0.5575</v>
      </c>
      <c r="E854" s="20">
        <f>IFERROR(__xludf.DUMMYFUNCTION("""COMPUTED_VALUE"""),0.32421)</f>
        <v>0.32421</v>
      </c>
      <c r="F854" s="20">
        <f>IFERROR(__xludf.DUMMYFUNCTION("""COMPUTED_VALUE"""),0.35938625)</f>
        <v>0.35938625</v>
      </c>
      <c r="G854" s="20"/>
      <c r="H854" s="23"/>
      <c r="J854" s="22"/>
    </row>
    <row r="855">
      <c r="A855" s="24">
        <f>IFERROR(__xludf.DUMMYFUNCTION("""COMPUTED_VALUE"""),45415.0)</f>
        <v>45415</v>
      </c>
      <c r="B855" s="20">
        <f>IFERROR(__xludf.DUMMYFUNCTION("""COMPUTED_VALUE"""),0.46222222222222226)</f>
        <v>0.4622222222</v>
      </c>
      <c r="C855" s="21">
        <f>IFERROR(__xludf.DUMMYFUNCTION("""COMPUTED_VALUE"""),0.3675)</f>
        <v>0.3675</v>
      </c>
      <c r="D855" s="25">
        <f>IFERROR(__xludf.DUMMYFUNCTION("""COMPUTED_VALUE"""),0.5575)</f>
        <v>0.5575</v>
      </c>
      <c r="E855" s="20">
        <f>IFERROR(__xludf.DUMMYFUNCTION("""COMPUTED_VALUE"""),0.32359857142857146)</f>
        <v>0.3235985714</v>
      </c>
      <c r="F855" s="20">
        <f>IFERROR(__xludf.DUMMYFUNCTION("""COMPUTED_VALUE"""),0.3621262142857143)</f>
        <v>0.3621262143</v>
      </c>
      <c r="G855" s="20"/>
      <c r="H855" s="23"/>
      <c r="J855" s="22"/>
    </row>
    <row r="856">
      <c r="A856" s="24">
        <f>IFERROR(__xludf.DUMMYFUNCTION("""COMPUTED_VALUE"""),45416.0)</f>
        <v>45416</v>
      </c>
      <c r="B856" s="20">
        <f>IFERROR(__xludf.DUMMYFUNCTION("""COMPUTED_VALUE"""),0.46222222222222226)</f>
        <v>0.4622222222</v>
      </c>
      <c r="C856" s="21">
        <f>IFERROR(__xludf.DUMMYFUNCTION("""COMPUTED_VALUE"""),0.3675)</f>
        <v>0.3675</v>
      </c>
      <c r="D856" s="25">
        <f>IFERROR(__xludf.DUMMYFUNCTION("""COMPUTED_VALUE"""),0.5575)</f>
        <v>0.5575</v>
      </c>
      <c r="E856" s="20">
        <f>IFERROR(__xludf.DUMMYFUNCTION("""COMPUTED_VALUE"""),0.32528000000000007)</f>
        <v>0.32528</v>
      </c>
      <c r="F856" s="20">
        <f>IFERROR(__xludf.DUMMYFUNCTION("""COMPUTED_VALUE"""),0.36486617857142856)</f>
        <v>0.3648661786</v>
      </c>
      <c r="G856" s="20"/>
      <c r="H856" s="23"/>
      <c r="J856" s="22"/>
    </row>
    <row r="857">
      <c r="A857" s="24">
        <f>IFERROR(__xludf.DUMMYFUNCTION("""COMPUTED_VALUE"""),45417.0)</f>
        <v>45417</v>
      </c>
      <c r="B857" s="20">
        <f>IFERROR(__xludf.DUMMYFUNCTION("""COMPUTED_VALUE"""),0.46222222222222226)</f>
        <v>0.4622222222</v>
      </c>
      <c r="C857" s="21">
        <f>IFERROR(__xludf.DUMMYFUNCTION("""COMPUTED_VALUE"""),0.3675)</f>
        <v>0.3675</v>
      </c>
      <c r="D857" s="25">
        <f>IFERROR(__xludf.DUMMYFUNCTION("""COMPUTED_VALUE"""),0.5575)</f>
        <v>0.5575</v>
      </c>
      <c r="E857" s="20">
        <f>IFERROR(__xludf.DUMMYFUNCTION("""COMPUTED_VALUE"""),0.32696142857142857)</f>
        <v>0.3269614286</v>
      </c>
      <c r="F857" s="20">
        <f>IFERROR(__xludf.DUMMYFUNCTION("""COMPUTED_VALUE"""),0.3676061428571429)</f>
        <v>0.3676061429</v>
      </c>
      <c r="G857" s="20"/>
      <c r="H857" s="23"/>
      <c r="J857" s="22"/>
    </row>
    <row r="858">
      <c r="A858" s="24">
        <f>IFERROR(__xludf.DUMMYFUNCTION("""COMPUTED_VALUE"""),45418.0)</f>
        <v>45418</v>
      </c>
      <c r="B858" s="20">
        <f>IFERROR(__xludf.DUMMYFUNCTION("""COMPUTED_VALUE"""),0.46222222222222226)</f>
        <v>0.4622222222</v>
      </c>
      <c r="C858" s="21">
        <f>IFERROR(__xludf.DUMMYFUNCTION("""COMPUTED_VALUE"""),0.3675)</f>
        <v>0.3675</v>
      </c>
      <c r="D858" s="25">
        <f>IFERROR(__xludf.DUMMYFUNCTION("""COMPUTED_VALUE"""),0.5575)</f>
        <v>0.5575</v>
      </c>
      <c r="E858" s="20">
        <f>IFERROR(__xludf.DUMMYFUNCTION("""COMPUTED_VALUE"""),0.3287192857142857)</f>
        <v>0.3287192857</v>
      </c>
      <c r="F858" s="20">
        <f>IFERROR(__xludf.DUMMYFUNCTION("""COMPUTED_VALUE"""),0.37247846428571435)</f>
        <v>0.3724784643</v>
      </c>
      <c r="G858" s="20"/>
      <c r="H858" s="23"/>
      <c r="J858" s="22"/>
    </row>
    <row r="859">
      <c r="A859" s="24">
        <f>IFERROR(__xludf.DUMMYFUNCTION("""COMPUTED_VALUE"""),45419.0)</f>
        <v>45419</v>
      </c>
      <c r="B859" s="20">
        <f>IFERROR(__xludf.DUMMYFUNCTION("""COMPUTED_VALUE"""),0.46222222222222226)</f>
        <v>0.4622222222</v>
      </c>
      <c r="C859" s="21">
        <f>IFERROR(__xludf.DUMMYFUNCTION("""COMPUTED_VALUE"""),0.3675)</f>
        <v>0.3675</v>
      </c>
      <c r="D859" s="25">
        <f>IFERROR(__xludf.DUMMYFUNCTION("""COMPUTED_VALUE"""),0.5575)</f>
        <v>0.5575</v>
      </c>
      <c r="E859" s="20">
        <f>IFERROR(__xludf.DUMMYFUNCTION("""COMPUTED_VALUE"""),0.33498642857142863)</f>
        <v>0.3349864286</v>
      </c>
      <c r="F859" s="20">
        <f>IFERROR(__xludf.DUMMYFUNCTION("""COMPUTED_VALUE"""),0.37496812500000004)</f>
        <v>0.374968125</v>
      </c>
      <c r="G859" s="20"/>
      <c r="H859" s="23"/>
      <c r="J859" s="22"/>
    </row>
    <row r="860">
      <c r="A860" s="24">
        <f>IFERROR(__xludf.DUMMYFUNCTION("""COMPUTED_VALUE"""),45420.0)</f>
        <v>45420</v>
      </c>
      <c r="B860" s="20">
        <f>IFERROR(__xludf.DUMMYFUNCTION("""COMPUTED_VALUE"""),0.46222222222222226)</f>
        <v>0.4622222222</v>
      </c>
      <c r="C860" s="21">
        <f>IFERROR(__xludf.DUMMYFUNCTION("""COMPUTED_VALUE"""),0.3675)</f>
        <v>0.3675</v>
      </c>
      <c r="D860" s="25">
        <f>IFERROR(__xludf.DUMMYFUNCTION("""COMPUTED_VALUE"""),0.5575)</f>
        <v>0.5575</v>
      </c>
      <c r="E860" s="20">
        <f>IFERROR(__xludf.DUMMYFUNCTION("""COMPUTED_VALUE"""),0.33949571428571435)</f>
        <v>0.3394957143</v>
      </c>
      <c r="F860" s="20">
        <f>IFERROR(__xludf.DUMMYFUNCTION("""COMPUTED_VALUE"""),0.3771688857142857)</f>
        <v>0.3771688857</v>
      </c>
      <c r="G860" s="20"/>
      <c r="H860" s="23"/>
      <c r="J860" s="22"/>
    </row>
    <row r="861">
      <c r="A861" s="24">
        <f>IFERROR(__xludf.DUMMYFUNCTION("""COMPUTED_VALUE"""),45421.0)</f>
        <v>45421</v>
      </c>
      <c r="B861" s="20">
        <f>IFERROR(__xludf.DUMMYFUNCTION("""COMPUTED_VALUE"""),0.46222222222222226)</f>
        <v>0.4622222222</v>
      </c>
      <c r="C861" s="21">
        <f>IFERROR(__xludf.DUMMYFUNCTION("""COMPUTED_VALUE"""),0.3675)</f>
        <v>0.3675</v>
      </c>
      <c r="D861" s="25">
        <f>IFERROR(__xludf.DUMMYFUNCTION("""COMPUTED_VALUE"""),0.5575)</f>
        <v>0.5575</v>
      </c>
      <c r="E861" s="20">
        <f>IFERROR(__xludf.DUMMYFUNCTION("""COMPUTED_VALUE"""),0.3411771428571429)</f>
        <v>0.3411771429</v>
      </c>
      <c r="F861" s="20">
        <f>IFERROR(__xludf.DUMMYFUNCTION("""COMPUTED_VALUE"""),0.3772862035714285)</f>
        <v>0.3772862036</v>
      </c>
      <c r="G861" s="20"/>
      <c r="H861" s="23"/>
      <c r="J861" s="22"/>
    </row>
    <row r="862">
      <c r="A862" s="24">
        <f>IFERROR(__xludf.DUMMYFUNCTION("""COMPUTED_VALUE"""),45422.0)</f>
        <v>45422</v>
      </c>
      <c r="B862" s="20">
        <f>IFERROR(__xludf.DUMMYFUNCTION("""COMPUTED_VALUE"""),0.46222222222222226)</f>
        <v>0.4622222222</v>
      </c>
      <c r="C862" s="21">
        <f>IFERROR(__xludf.DUMMYFUNCTION("""COMPUTED_VALUE"""),0.3675)</f>
        <v>0.3675</v>
      </c>
      <c r="D862" s="25">
        <f>IFERROR(__xludf.DUMMYFUNCTION("""COMPUTED_VALUE"""),0.5575)</f>
        <v>0.5575</v>
      </c>
      <c r="E862" s="20">
        <f>IFERROR(__xludf.DUMMYFUNCTION("""COMPUTED_VALUE"""),0.34087142857142855)</f>
        <v>0.3408714286</v>
      </c>
      <c r="F862" s="20">
        <f>IFERROR(__xludf.DUMMYFUNCTION("""COMPUTED_VALUE"""),0.3763182357142857)</f>
        <v>0.3763182357</v>
      </c>
      <c r="G862" s="20"/>
      <c r="H862" s="23"/>
      <c r="J862" s="22"/>
    </row>
    <row r="863">
      <c r="A863" s="24">
        <f>IFERROR(__xludf.DUMMYFUNCTION("""COMPUTED_VALUE"""),45423.0)</f>
        <v>45423</v>
      </c>
      <c r="B863" s="20">
        <f>IFERROR(__xludf.DUMMYFUNCTION("""COMPUTED_VALUE"""),0.46222222222222226)</f>
        <v>0.4622222222</v>
      </c>
      <c r="C863" s="21">
        <f>IFERROR(__xludf.DUMMYFUNCTION("""COMPUTED_VALUE"""),0.3675)</f>
        <v>0.3675</v>
      </c>
      <c r="D863" s="25">
        <f>IFERROR(__xludf.DUMMYFUNCTION("""COMPUTED_VALUE"""),0.5575)</f>
        <v>0.5575</v>
      </c>
      <c r="E863" s="20">
        <f>IFERROR(__xludf.DUMMYFUNCTION("""COMPUTED_VALUE"""),0.3392664285714285)</f>
        <v>0.3392664286</v>
      </c>
      <c r="F863" s="20">
        <f>IFERROR(__xludf.DUMMYFUNCTION("""COMPUTED_VALUE"""),0.37535026785714276)</f>
        <v>0.3753502679</v>
      </c>
      <c r="G863" s="20"/>
      <c r="H863" s="23"/>
      <c r="J863" s="22"/>
    </row>
    <row r="864">
      <c r="A864" s="24">
        <f>IFERROR(__xludf.DUMMYFUNCTION("""COMPUTED_VALUE"""),45424.0)</f>
        <v>45424</v>
      </c>
      <c r="B864" s="20">
        <f>IFERROR(__xludf.DUMMYFUNCTION("""COMPUTED_VALUE"""),0.46222222222222226)</f>
        <v>0.4622222222</v>
      </c>
      <c r="C864" s="21">
        <f>IFERROR(__xludf.DUMMYFUNCTION("""COMPUTED_VALUE"""),0.3675)</f>
        <v>0.3675</v>
      </c>
      <c r="D864" s="25">
        <f>IFERROR(__xludf.DUMMYFUNCTION("""COMPUTED_VALUE"""),0.5575)</f>
        <v>0.5575</v>
      </c>
      <c r="E864" s="20">
        <f>IFERROR(__xludf.DUMMYFUNCTION("""COMPUTED_VALUE"""),0.3376614285714286)</f>
        <v>0.3376614286</v>
      </c>
      <c r="F864" s="20">
        <f>IFERROR(__xludf.DUMMYFUNCTION("""COMPUTED_VALUE"""),0.3743823)</f>
        <v>0.3743823</v>
      </c>
      <c r="G864" s="20"/>
      <c r="H864" s="23"/>
      <c r="J864" s="22"/>
    </row>
    <row r="865">
      <c r="A865" s="24">
        <f>IFERROR(__xludf.DUMMYFUNCTION("""COMPUTED_VALUE"""),45425.0)</f>
        <v>45425</v>
      </c>
      <c r="B865" s="20">
        <f>IFERROR(__xludf.DUMMYFUNCTION("""COMPUTED_VALUE"""),0.46735294117647064)</f>
        <v>0.4673529412</v>
      </c>
      <c r="C865" s="21">
        <f>IFERROR(__xludf.DUMMYFUNCTION("""COMPUTED_VALUE"""),0.39749999999999996)</f>
        <v>0.3975</v>
      </c>
      <c r="D865" s="25">
        <f>IFERROR(__xludf.DUMMYFUNCTION("""COMPUTED_VALUE"""),0.5774999999999999)</f>
        <v>0.5775</v>
      </c>
      <c r="E865" s="20">
        <f>IFERROR(__xludf.DUMMYFUNCTION("""COMPUTED_VALUE"""),0.3367442857142858)</f>
        <v>0.3367442857</v>
      </c>
      <c r="F865" s="20">
        <f>IFERROR(__xludf.DUMMYFUNCTION("""COMPUTED_VALUE"""),0.3728342392857143)</f>
        <v>0.3728342393</v>
      </c>
      <c r="G865" s="20"/>
      <c r="H865" s="23"/>
      <c r="J865" s="22"/>
    </row>
    <row r="866">
      <c r="A866" s="24">
        <f>IFERROR(__xludf.DUMMYFUNCTION("""COMPUTED_VALUE"""),45426.0)</f>
        <v>45426</v>
      </c>
      <c r="B866" s="20">
        <f>IFERROR(__xludf.DUMMYFUNCTION("""COMPUTED_VALUE"""),0.46735294117647064)</f>
        <v>0.4673529412</v>
      </c>
      <c r="C866" s="21">
        <f>IFERROR(__xludf.DUMMYFUNCTION("""COMPUTED_VALUE"""),0.39749999999999996)</f>
        <v>0.3975</v>
      </c>
      <c r="D866" s="25">
        <f>IFERROR(__xludf.DUMMYFUNCTION("""COMPUTED_VALUE"""),0.5774999999999999)</f>
        <v>0.5775</v>
      </c>
      <c r="E866" s="20">
        <f>IFERROR(__xludf.DUMMYFUNCTION("""COMPUTED_VALUE"""),0.3317)</f>
        <v>0.3317</v>
      </c>
      <c r="F866" s="20">
        <f>IFERROR(__xludf.DUMMYFUNCTION("""COMPUTED_VALUE"""),0.37252814285714286)</f>
        <v>0.3725281429</v>
      </c>
      <c r="G866" s="20"/>
      <c r="H866" s="23"/>
      <c r="J866" s="22"/>
    </row>
    <row r="867">
      <c r="A867" s="24">
        <f>IFERROR(__xludf.DUMMYFUNCTION("""COMPUTED_VALUE"""),45427.0)</f>
        <v>45427</v>
      </c>
      <c r="B867" s="20">
        <f>IFERROR(__xludf.DUMMYFUNCTION("""COMPUTED_VALUE"""),0.46735294117647064)</f>
        <v>0.4673529412</v>
      </c>
      <c r="C867" s="21">
        <f>IFERROR(__xludf.DUMMYFUNCTION("""COMPUTED_VALUE"""),0.39749999999999996)</f>
        <v>0.3975</v>
      </c>
      <c r="D867" s="25">
        <f>IFERROR(__xludf.DUMMYFUNCTION("""COMPUTED_VALUE"""),0.5774999999999999)</f>
        <v>0.5775</v>
      </c>
      <c r="E867" s="20">
        <f>IFERROR(__xludf.DUMMYFUNCTION("""COMPUTED_VALUE"""),0.33001857142857144)</f>
        <v>0.3300185714</v>
      </c>
      <c r="F867" s="20">
        <f>IFERROR(__xludf.DUMMYFUNCTION("""COMPUTED_VALUE"""),0.37245056785714276)</f>
        <v>0.3724505679</v>
      </c>
      <c r="G867" s="20"/>
      <c r="H867" s="23"/>
      <c r="J867" s="22"/>
    </row>
    <row r="868">
      <c r="A868" s="24">
        <f>IFERROR(__xludf.DUMMYFUNCTION("""COMPUTED_VALUE"""),45428.0)</f>
        <v>45428</v>
      </c>
      <c r="B868" s="20">
        <f>IFERROR(__xludf.DUMMYFUNCTION("""COMPUTED_VALUE"""),0.46735294117647064)</f>
        <v>0.4673529412</v>
      </c>
      <c r="C868" s="21">
        <f>IFERROR(__xludf.DUMMYFUNCTION("""COMPUTED_VALUE"""),0.39749999999999996)</f>
        <v>0.3975</v>
      </c>
      <c r="D868" s="25">
        <f>IFERROR(__xludf.DUMMYFUNCTION("""COMPUTED_VALUE"""),0.5774999999999999)</f>
        <v>0.5775</v>
      </c>
      <c r="E868" s="20">
        <f>IFERROR(__xludf.DUMMYFUNCTION("""COMPUTED_VALUE"""),0.3303242857142857)</f>
        <v>0.3303242857</v>
      </c>
      <c r="F868" s="20">
        <f>IFERROR(__xludf.DUMMYFUNCTION("""COMPUTED_VALUE"""),0.3729179285714285)</f>
        <v>0.3729179286</v>
      </c>
      <c r="G868" s="20"/>
      <c r="H868" s="23"/>
      <c r="J868" s="22"/>
    </row>
    <row r="869">
      <c r="A869" s="24">
        <f>IFERROR(__xludf.DUMMYFUNCTION("""COMPUTED_VALUE"""),45429.0)</f>
        <v>45429</v>
      </c>
      <c r="B869" s="20">
        <f>IFERROR(__xludf.DUMMYFUNCTION("""COMPUTED_VALUE"""),0.46735294117647064)</f>
        <v>0.4673529412</v>
      </c>
      <c r="C869" s="21">
        <f>IFERROR(__xludf.DUMMYFUNCTION("""COMPUTED_VALUE"""),0.39749999999999996)</f>
        <v>0.3975</v>
      </c>
      <c r="D869" s="25">
        <f>IFERROR(__xludf.DUMMYFUNCTION("""COMPUTED_VALUE"""),0.5774999999999999)</f>
        <v>0.5775</v>
      </c>
      <c r="E869" s="20">
        <f>IFERROR(__xludf.DUMMYFUNCTION("""COMPUTED_VALUE"""),0.3304007142857142)</f>
        <v>0.3304007143</v>
      </c>
      <c r="F869" s="20">
        <f>IFERROR(__xludf.DUMMYFUNCTION("""COMPUTED_VALUE"""),0.37499869642857137)</f>
        <v>0.3749986964</v>
      </c>
      <c r="G869" s="20"/>
      <c r="H869" s="23"/>
      <c r="J869" s="22"/>
    </row>
    <row r="870">
      <c r="A870" s="24">
        <f>IFERROR(__xludf.DUMMYFUNCTION("""COMPUTED_VALUE"""),45430.0)</f>
        <v>45430</v>
      </c>
      <c r="B870" s="20">
        <f>IFERROR(__xludf.DUMMYFUNCTION("""COMPUTED_VALUE"""),0.46735294117647064)</f>
        <v>0.4673529412</v>
      </c>
      <c r="C870" s="21">
        <f>IFERROR(__xludf.DUMMYFUNCTION("""COMPUTED_VALUE"""),0.39749999999999996)</f>
        <v>0.3975</v>
      </c>
      <c r="D870" s="25">
        <f>IFERROR(__xludf.DUMMYFUNCTION("""COMPUTED_VALUE"""),0.5774999999999999)</f>
        <v>0.5775</v>
      </c>
      <c r="E870" s="20">
        <f>IFERROR(__xludf.DUMMYFUNCTION("""COMPUTED_VALUE"""),0.33276999999999995)</f>
        <v>0.33277</v>
      </c>
      <c r="F870" s="20">
        <f>IFERROR(__xludf.DUMMYFUNCTION("""COMPUTED_VALUE"""),0.3770794642857142)</f>
        <v>0.3770794643</v>
      </c>
      <c r="G870" s="20"/>
      <c r="H870" s="23"/>
      <c r="J870" s="22"/>
    </row>
    <row r="871">
      <c r="A871" s="24">
        <f>IFERROR(__xludf.DUMMYFUNCTION("""COMPUTED_VALUE"""),45431.0)</f>
        <v>45431</v>
      </c>
      <c r="B871" s="20">
        <f>IFERROR(__xludf.DUMMYFUNCTION("""COMPUTED_VALUE"""),0.46735294117647064)</f>
        <v>0.4673529412</v>
      </c>
      <c r="C871" s="21">
        <f>IFERROR(__xludf.DUMMYFUNCTION("""COMPUTED_VALUE"""),0.39749999999999996)</f>
        <v>0.3975</v>
      </c>
      <c r="D871" s="25">
        <f>IFERROR(__xludf.DUMMYFUNCTION("""COMPUTED_VALUE"""),0.5774999999999999)</f>
        <v>0.5775</v>
      </c>
      <c r="E871" s="20">
        <f>IFERROR(__xludf.DUMMYFUNCTION("""COMPUTED_VALUE"""),0.33513928571428575)</f>
        <v>0.3351392857</v>
      </c>
      <c r="F871" s="20">
        <f>IFERROR(__xludf.DUMMYFUNCTION("""COMPUTED_VALUE"""),0.37916023214285705)</f>
        <v>0.3791602321</v>
      </c>
      <c r="G871" s="20"/>
      <c r="H871" s="23"/>
      <c r="J871" s="22"/>
    </row>
    <row r="872">
      <c r="A872" s="24">
        <f>IFERROR(__xludf.DUMMYFUNCTION("""COMPUTED_VALUE"""),45432.0)</f>
        <v>45432</v>
      </c>
      <c r="B872" s="20">
        <f>IFERROR(__xludf.DUMMYFUNCTION("""COMPUTED_VALUE"""),0.46735294117647064)</f>
        <v>0.4673529412</v>
      </c>
      <c r="C872" s="21">
        <f>IFERROR(__xludf.DUMMYFUNCTION("""COMPUTED_VALUE"""),0.39749999999999996)</f>
        <v>0.3975</v>
      </c>
      <c r="D872" s="25">
        <f>IFERROR(__xludf.DUMMYFUNCTION("""COMPUTED_VALUE"""),0.5774999999999999)</f>
        <v>0.5775</v>
      </c>
      <c r="E872" s="20">
        <f>IFERROR(__xludf.DUMMYFUNCTION("""COMPUTED_VALUE"""),0.3368207142857143)</f>
        <v>0.3368207143</v>
      </c>
      <c r="F872" s="20">
        <f>IFERROR(__xludf.DUMMYFUNCTION("""COMPUTED_VALUE"""),0.38246194642857134)</f>
        <v>0.3824619464</v>
      </c>
      <c r="G872" s="20"/>
      <c r="H872" s="23"/>
      <c r="J872" s="22"/>
    </row>
    <row r="873">
      <c r="A873" s="24">
        <f>IFERROR(__xludf.DUMMYFUNCTION("""COMPUTED_VALUE"""),45433.0)</f>
        <v>45433</v>
      </c>
      <c r="B873" s="20">
        <f>IFERROR(__xludf.DUMMYFUNCTION("""COMPUTED_VALUE"""),0.46735294117647064)</f>
        <v>0.4673529412</v>
      </c>
      <c r="C873" s="21">
        <f>IFERROR(__xludf.DUMMYFUNCTION("""COMPUTED_VALUE"""),0.39749999999999996)</f>
        <v>0.3975</v>
      </c>
      <c r="D873" s="25">
        <f>IFERROR(__xludf.DUMMYFUNCTION("""COMPUTED_VALUE"""),0.5774999999999999)</f>
        <v>0.5775</v>
      </c>
      <c r="E873" s="20">
        <f>IFERROR(__xludf.DUMMYFUNCTION("""COMPUTED_VALUE"""),0.34316428571428576)</f>
        <v>0.3431642857</v>
      </c>
      <c r="F873" s="20">
        <f>IFERROR(__xludf.DUMMYFUNCTION("""COMPUTED_VALUE"""),0.38699033928571425)</f>
        <v>0.3869903393</v>
      </c>
      <c r="G873" s="20"/>
      <c r="H873" s="23"/>
      <c r="J873" s="22"/>
    </row>
    <row r="874">
      <c r="A874" s="24">
        <f>IFERROR(__xludf.DUMMYFUNCTION("""COMPUTED_VALUE"""),45434.0)</f>
        <v>45434</v>
      </c>
      <c r="B874" s="20">
        <f>IFERROR(__xludf.DUMMYFUNCTION("""COMPUTED_VALUE"""),0.46735294117647064)</f>
        <v>0.4673529412</v>
      </c>
      <c r="C874" s="21">
        <f>IFERROR(__xludf.DUMMYFUNCTION("""COMPUTED_VALUE"""),0.39749999999999996)</f>
        <v>0.3975</v>
      </c>
      <c r="D874" s="25">
        <f>IFERROR(__xludf.DUMMYFUNCTION("""COMPUTED_VALUE"""),0.5774999999999999)</f>
        <v>0.5775</v>
      </c>
      <c r="E874" s="20">
        <f>IFERROR(__xludf.DUMMYFUNCTION("""COMPUTED_VALUE"""),0.3479028571428571)</f>
        <v>0.3479028571</v>
      </c>
      <c r="F874" s="20">
        <f>IFERROR(__xludf.DUMMYFUNCTION("""COMPUTED_VALUE"""),0.3936843357142857)</f>
        <v>0.3936843357</v>
      </c>
      <c r="G874" s="20"/>
      <c r="H874" s="23"/>
      <c r="J874" s="22"/>
    </row>
    <row r="875">
      <c r="A875" s="24">
        <f>IFERROR(__xludf.DUMMYFUNCTION("""COMPUTED_VALUE"""),45435.0)</f>
        <v>45435</v>
      </c>
      <c r="B875" s="20">
        <f>IFERROR(__xludf.DUMMYFUNCTION("""COMPUTED_VALUE"""),0.46735294117647064)</f>
        <v>0.4673529412</v>
      </c>
      <c r="C875" s="21">
        <f>IFERROR(__xludf.DUMMYFUNCTION("""COMPUTED_VALUE"""),0.39749999999999996)</f>
        <v>0.3975</v>
      </c>
      <c r="D875" s="25">
        <f>IFERROR(__xludf.DUMMYFUNCTION("""COMPUTED_VALUE"""),0.5774999999999999)</f>
        <v>0.5775</v>
      </c>
      <c r="E875" s="20">
        <f>IFERROR(__xludf.DUMMYFUNCTION("""COMPUTED_VALUE"""),0.35417)</f>
        <v>0.35417</v>
      </c>
      <c r="F875" s="20">
        <f>IFERROR(__xludf.DUMMYFUNCTION("""COMPUTED_VALUE"""),0.4006622642857143)</f>
        <v>0.4006622643</v>
      </c>
      <c r="G875" s="20"/>
      <c r="H875" s="23"/>
      <c r="J875" s="22"/>
    </row>
    <row r="876">
      <c r="A876" s="24">
        <f>IFERROR(__xludf.DUMMYFUNCTION("""COMPUTED_VALUE"""),45436.0)</f>
        <v>45436</v>
      </c>
      <c r="B876" s="20">
        <f>IFERROR(__xludf.DUMMYFUNCTION("""COMPUTED_VALUE"""),0.46735294117647064)</f>
        <v>0.4673529412</v>
      </c>
      <c r="C876" s="21">
        <f>IFERROR(__xludf.DUMMYFUNCTION("""COMPUTED_VALUE"""),0.39749999999999996)</f>
        <v>0.3975</v>
      </c>
      <c r="D876" s="25">
        <f>IFERROR(__xludf.DUMMYFUNCTION("""COMPUTED_VALUE"""),0.5774999999999999)</f>
        <v>0.5775</v>
      </c>
      <c r="E876" s="20">
        <f>IFERROR(__xludf.DUMMYFUNCTION("""COMPUTED_VALUE"""),0.3628828571428571)</f>
        <v>0.3628828571</v>
      </c>
      <c r="F876" s="20">
        <f>IFERROR(__xludf.DUMMYFUNCTION("""COMPUTED_VALUE"""),0.40538134642857143)</f>
        <v>0.4053813464</v>
      </c>
      <c r="G876" s="20"/>
      <c r="H876" s="23"/>
      <c r="J876" s="22"/>
    </row>
    <row r="877">
      <c r="A877" s="24">
        <f>IFERROR(__xludf.DUMMYFUNCTION("""COMPUTED_VALUE"""),45437.0)</f>
        <v>45437</v>
      </c>
      <c r="B877" s="20">
        <f>IFERROR(__xludf.DUMMYFUNCTION("""COMPUTED_VALUE"""),0.46735294117647064)</f>
        <v>0.4673529412</v>
      </c>
      <c r="C877" s="21">
        <f>IFERROR(__xludf.DUMMYFUNCTION("""COMPUTED_VALUE"""),0.39749999999999996)</f>
        <v>0.3975</v>
      </c>
      <c r="D877" s="25">
        <f>IFERROR(__xludf.DUMMYFUNCTION("""COMPUTED_VALUE"""),0.5774999999999999)</f>
        <v>0.5775</v>
      </c>
      <c r="E877" s="20">
        <f>IFERROR(__xludf.DUMMYFUNCTION("""COMPUTED_VALUE"""),0.3688442857142857)</f>
        <v>0.3688442857</v>
      </c>
      <c r="F877" s="20">
        <f>IFERROR(__xludf.DUMMYFUNCTION("""COMPUTED_VALUE"""),0.4101004285714286)</f>
        <v>0.4101004286</v>
      </c>
      <c r="G877" s="20"/>
      <c r="H877" s="23"/>
      <c r="J877" s="22"/>
    </row>
    <row r="878">
      <c r="A878" s="24">
        <f>IFERROR(__xludf.DUMMYFUNCTION("""COMPUTED_VALUE"""),45438.0)</f>
        <v>45438</v>
      </c>
      <c r="B878" s="20">
        <f>IFERROR(__xludf.DUMMYFUNCTION("""COMPUTED_VALUE"""),0.46735294117647064)</f>
        <v>0.4673529412</v>
      </c>
      <c r="C878" s="21">
        <f>IFERROR(__xludf.DUMMYFUNCTION("""COMPUTED_VALUE"""),0.39749999999999996)</f>
        <v>0.3975</v>
      </c>
      <c r="D878" s="25">
        <f>IFERROR(__xludf.DUMMYFUNCTION("""COMPUTED_VALUE"""),0.5774999999999999)</f>
        <v>0.5775</v>
      </c>
      <c r="E878" s="20">
        <f>IFERROR(__xludf.DUMMYFUNCTION("""COMPUTED_VALUE"""),0.37480571428571424)</f>
        <v>0.3748057143</v>
      </c>
      <c r="F878" s="20">
        <f>IFERROR(__xludf.DUMMYFUNCTION("""COMPUTED_VALUE"""),0.4148195107142857)</f>
        <v>0.4148195107</v>
      </c>
      <c r="G878" s="20"/>
      <c r="H878" s="23"/>
      <c r="J878" s="22"/>
    </row>
    <row r="879">
      <c r="A879" s="24">
        <f>IFERROR(__xludf.DUMMYFUNCTION("""COMPUTED_VALUE"""),45439.0)</f>
        <v>45439</v>
      </c>
      <c r="B879" s="20">
        <f>IFERROR(__xludf.DUMMYFUNCTION("""COMPUTED_VALUE"""),0.4893157894736843)</f>
        <v>0.4893157895</v>
      </c>
      <c r="C879" s="21">
        <f>IFERROR(__xludf.DUMMYFUNCTION("""COMPUTED_VALUE"""),0.39749999999999996)</f>
        <v>0.3975</v>
      </c>
      <c r="D879" s="25">
        <f>IFERROR(__xludf.DUMMYFUNCTION("""COMPUTED_VALUE"""),0.6074999999999999)</f>
        <v>0.6075</v>
      </c>
      <c r="E879" s="20">
        <f>IFERROR(__xludf.DUMMYFUNCTION("""COMPUTED_VALUE"""),0.38076714285714275)</f>
        <v>0.3807671429</v>
      </c>
      <c r="F879" s="20">
        <f>IFERROR(__xludf.DUMMYFUNCTION("""COMPUTED_VALUE"""),0.41955731785714284)</f>
        <v>0.4195573179</v>
      </c>
      <c r="G879" s="20"/>
      <c r="H879" s="23"/>
      <c r="J879" s="22"/>
    </row>
    <row r="880">
      <c r="A880" s="24">
        <f>IFERROR(__xludf.DUMMYFUNCTION("""COMPUTED_VALUE"""),45440.0)</f>
        <v>45440</v>
      </c>
      <c r="B880" s="20">
        <f>IFERROR(__xludf.DUMMYFUNCTION("""COMPUTED_VALUE"""),0.4893157894736843)</f>
        <v>0.4893157895</v>
      </c>
      <c r="C880" s="21">
        <f>IFERROR(__xludf.DUMMYFUNCTION("""COMPUTED_VALUE"""),0.39749999999999996)</f>
        <v>0.3975</v>
      </c>
      <c r="D880" s="25">
        <f>IFERROR(__xludf.DUMMYFUNCTION("""COMPUTED_VALUE"""),0.6074999999999999)</f>
        <v>0.6075</v>
      </c>
      <c r="E880" s="20">
        <f>IFERROR(__xludf.DUMMYFUNCTION("""COMPUTED_VALUE"""),0.3858114285714285)</f>
        <v>0.3858114286</v>
      </c>
      <c r="F880" s="20">
        <f>IFERROR(__xludf.DUMMYFUNCTION("""COMPUTED_VALUE"""),0.42087647499999997)</f>
        <v>0.420876475</v>
      </c>
      <c r="G880" s="20"/>
      <c r="H880" s="23"/>
      <c r="J880" s="22"/>
    </row>
    <row r="881">
      <c r="A881" s="24">
        <f>IFERROR(__xludf.DUMMYFUNCTION("""COMPUTED_VALUE"""),45441.0)</f>
        <v>45441</v>
      </c>
      <c r="B881" s="20">
        <f>IFERROR(__xludf.DUMMYFUNCTION("""COMPUTED_VALUE"""),0.4893157894736843)</f>
        <v>0.4893157895</v>
      </c>
      <c r="C881" s="21">
        <f>IFERROR(__xludf.DUMMYFUNCTION("""COMPUTED_VALUE"""),0.39749999999999996)</f>
        <v>0.3975</v>
      </c>
      <c r="D881" s="25">
        <f>IFERROR(__xludf.DUMMYFUNCTION("""COMPUTED_VALUE"""),0.6074999999999999)</f>
        <v>0.6075</v>
      </c>
      <c r="E881" s="20">
        <f>IFERROR(__xludf.DUMMYFUNCTION("""COMPUTED_VALUE"""),0.3887157142857142)</f>
        <v>0.3887157143</v>
      </c>
      <c r="F881" s="20">
        <f>IFERROR(__xludf.DUMMYFUNCTION("""COMPUTED_VALUE"""),0.42055279999999995)</f>
        <v>0.4205528</v>
      </c>
      <c r="G881" s="20"/>
      <c r="H881" s="23"/>
      <c r="J881" s="22"/>
    </row>
    <row r="882">
      <c r="A882" s="24">
        <f>IFERROR(__xludf.DUMMYFUNCTION("""COMPUTED_VALUE"""),45442.0)</f>
        <v>45442</v>
      </c>
      <c r="B882" s="20">
        <f>IFERROR(__xludf.DUMMYFUNCTION("""COMPUTED_VALUE"""),0.4893157894736843)</f>
        <v>0.4893157895</v>
      </c>
      <c r="C882" s="21">
        <f>IFERROR(__xludf.DUMMYFUNCTION("""COMPUTED_VALUE"""),0.39749999999999996)</f>
        <v>0.3975</v>
      </c>
      <c r="D882" s="25">
        <f>IFERROR(__xludf.DUMMYFUNCTION("""COMPUTED_VALUE"""),0.6074999999999999)</f>
        <v>0.6075</v>
      </c>
      <c r="E882" s="20">
        <f>IFERROR(__xludf.DUMMYFUNCTION("""COMPUTED_VALUE"""),0.3892507142857142)</f>
        <v>0.3892507143</v>
      </c>
      <c r="F882" s="20">
        <f>IFERROR(__xludf.DUMMYFUNCTION("""COMPUTED_VALUE"""),0.4198068571428571)</f>
        <v>0.4198068571</v>
      </c>
      <c r="G882" s="20"/>
      <c r="H882" s="23"/>
      <c r="J882" s="22"/>
    </row>
    <row r="883">
      <c r="A883" s="24">
        <f>IFERROR(__xludf.DUMMYFUNCTION("""COMPUTED_VALUE"""),45443.0)</f>
        <v>45443</v>
      </c>
      <c r="B883" s="20">
        <f>IFERROR(__xludf.DUMMYFUNCTION("""COMPUTED_VALUE"""),0.4893157894736843)</f>
        <v>0.4893157895</v>
      </c>
      <c r="C883" s="21">
        <f>IFERROR(__xludf.DUMMYFUNCTION("""COMPUTED_VALUE"""),0.39749999999999996)</f>
        <v>0.3975</v>
      </c>
      <c r="D883" s="25">
        <f>IFERROR(__xludf.DUMMYFUNCTION("""COMPUTED_VALUE"""),0.6074999999999999)</f>
        <v>0.6075</v>
      </c>
      <c r="E883" s="20">
        <f>IFERROR(__xludf.DUMMYFUNCTION("""COMPUTED_VALUE"""),0.3877985714285714)</f>
        <v>0.3877985714</v>
      </c>
      <c r="F883" s="20">
        <f>IFERROR(__xludf.DUMMYFUNCTION("""COMPUTED_VALUE"""),0.41916714999999993)</f>
        <v>0.41916715</v>
      </c>
      <c r="G883" s="20"/>
      <c r="H883" s="23"/>
      <c r="J883" s="22"/>
    </row>
    <row r="884">
      <c r="A884" s="24">
        <f>IFERROR(__xludf.DUMMYFUNCTION("""COMPUTED_VALUE"""),45444.0)</f>
        <v>45444</v>
      </c>
      <c r="B884" s="20">
        <f>IFERROR(__xludf.DUMMYFUNCTION("""COMPUTED_VALUE"""),0.4893157894736843)</f>
        <v>0.4893157895</v>
      </c>
      <c r="C884" s="21">
        <f>IFERROR(__xludf.DUMMYFUNCTION("""COMPUTED_VALUE"""),0.39749999999999996)</f>
        <v>0.3975</v>
      </c>
      <c r="D884" s="25">
        <f>IFERROR(__xludf.DUMMYFUNCTION("""COMPUTED_VALUE"""),0.6074999999999999)</f>
        <v>0.6075</v>
      </c>
      <c r="E884" s="20">
        <f>IFERROR(__xludf.DUMMYFUNCTION("""COMPUTED_VALUE"""),0.38772214285714285)</f>
        <v>0.3877221429</v>
      </c>
      <c r="F884" s="20">
        <f>IFERROR(__xludf.DUMMYFUNCTION("""COMPUTED_VALUE"""),0.4185274428571428)</f>
        <v>0.4185274429</v>
      </c>
      <c r="G884" s="20"/>
      <c r="H884" s="23"/>
      <c r="J884" s="22"/>
    </row>
    <row r="885">
      <c r="A885" s="24">
        <f>IFERROR(__xludf.DUMMYFUNCTION("""COMPUTED_VALUE"""),45445.0)</f>
        <v>45445</v>
      </c>
      <c r="B885" s="20">
        <f>IFERROR(__xludf.DUMMYFUNCTION("""COMPUTED_VALUE"""),0.4893157894736843)</f>
        <v>0.4893157895</v>
      </c>
      <c r="C885" s="21">
        <f>IFERROR(__xludf.DUMMYFUNCTION("""COMPUTED_VALUE"""),0.39749999999999996)</f>
        <v>0.3975</v>
      </c>
      <c r="D885" s="25">
        <f>IFERROR(__xludf.DUMMYFUNCTION("""COMPUTED_VALUE"""),0.6074999999999999)</f>
        <v>0.6075</v>
      </c>
      <c r="E885" s="20">
        <f>IFERROR(__xludf.DUMMYFUNCTION("""COMPUTED_VALUE"""),0.38764571428571426)</f>
        <v>0.3876457143</v>
      </c>
      <c r="F885" s="20">
        <f>IFERROR(__xludf.DUMMYFUNCTION("""COMPUTED_VALUE"""),0.4178877357142857)</f>
        <v>0.4178877357</v>
      </c>
      <c r="G885" s="20"/>
      <c r="H885" s="23"/>
      <c r="J885" s="22"/>
    </row>
    <row r="886">
      <c r="A886" s="24">
        <f>IFERROR(__xludf.DUMMYFUNCTION("""COMPUTED_VALUE"""),45446.0)</f>
        <v>45446</v>
      </c>
      <c r="B886" s="20">
        <f>IFERROR(__xludf.DUMMYFUNCTION("""COMPUTED_VALUE"""),0.4893157894736843)</f>
        <v>0.4893157895</v>
      </c>
      <c r="C886" s="21">
        <f>IFERROR(__xludf.DUMMYFUNCTION("""COMPUTED_VALUE"""),0.39749999999999996)</f>
        <v>0.3975</v>
      </c>
      <c r="D886" s="25">
        <f>IFERROR(__xludf.DUMMYFUNCTION("""COMPUTED_VALUE"""),0.6074999999999999)</f>
        <v>0.6075</v>
      </c>
      <c r="E886" s="20">
        <f>IFERROR(__xludf.DUMMYFUNCTION("""COMPUTED_VALUE"""),0.3884864285714285)</f>
        <v>0.3884864286</v>
      </c>
      <c r="F886" s="20">
        <f>IFERROR(__xludf.DUMMYFUNCTION("""COMPUTED_VALUE"""),0.41748037142857136)</f>
        <v>0.4174803714</v>
      </c>
      <c r="G886" s="20"/>
      <c r="H886" s="23"/>
      <c r="J886" s="22"/>
    </row>
    <row r="887">
      <c r="A887" s="24">
        <f>IFERROR(__xludf.DUMMYFUNCTION("""COMPUTED_VALUE"""),45447.0)</f>
        <v>45447</v>
      </c>
      <c r="B887" s="20">
        <f>IFERROR(__xludf.DUMMYFUNCTION("""COMPUTED_VALUE"""),0.4893157894736843)</f>
        <v>0.4893157895</v>
      </c>
      <c r="C887" s="21">
        <f>IFERROR(__xludf.DUMMYFUNCTION("""COMPUTED_VALUE"""),0.39749999999999996)</f>
        <v>0.3975</v>
      </c>
      <c r="D887" s="25">
        <f>IFERROR(__xludf.DUMMYFUNCTION("""COMPUTED_VALUE"""),0.6074999999999999)</f>
        <v>0.6075</v>
      </c>
      <c r="E887" s="20">
        <f>IFERROR(__xludf.DUMMYFUNCTION("""COMPUTED_VALUE"""),0.3893271428571428)</f>
        <v>0.3893271429</v>
      </c>
      <c r="F887" s="20">
        <f>IFERROR(__xludf.DUMMYFUNCTION("""COMPUTED_VALUE"""),0.4159368964285714)</f>
        <v>0.4159368964</v>
      </c>
      <c r="G887" s="20"/>
      <c r="H887" s="23"/>
      <c r="J887" s="22"/>
    </row>
    <row r="888">
      <c r="A888" s="24">
        <f>IFERROR(__xludf.DUMMYFUNCTION("""COMPUTED_VALUE"""),45448.0)</f>
        <v>45448</v>
      </c>
      <c r="B888" s="20">
        <f>IFERROR(__xludf.DUMMYFUNCTION("""COMPUTED_VALUE"""),0.4893157894736843)</f>
        <v>0.4893157895</v>
      </c>
      <c r="C888" s="21">
        <f>IFERROR(__xludf.DUMMYFUNCTION("""COMPUTED_VALUE"""),0.39749999999999996)</f>
        <v>0.3975</v>
      </c>
      <c r="D888" s="25">
        <f>IFERROR(__xludf.DUMMYFUNCTION("""COMPUTED_VALUE"""),0.6074999999999999)</f>
        <v>0.6075</v>
      </c>
      <c r="E888" s="20">
        <f>IFERROR(__xludf.DUMMYFUNCTION("""COMPUTED_VALUE"""),0.3890978571428571)</f>
        <v>0.3890978571</v>
      </c>
      <c r="F888" s="20">
        <f>IFERROR(__xludf.DUMMYFUNCTION("""COMPUTED_VALUE"""),0.41297299642857144)</f>
        <v>0.4129729964</v>
      </c>
      <c r="G888" s="20"/>
      <c r="H888" s="23"/>
      <c r="J888" s="22"/>
    </row>
    <row r="889">
      <c r="A889" s="24">
        <f>IFERROR(__xludf.DUMMYFUNCTION("""COMPUTED_VALUE"""),45449.0)</f>
        <v>45449</v>
      </c>
      <c r="B889" s="20">
        <f>IFERROR(__xludf.DUMMYFUNCTION("""COMPUTED_VALUE"""),0.4893157894736843)</f>
        <v>0.4893157895</v>
      </c>
      <c r="C889" s="21">
        <f>IFERROR(__xludf.DUMMYFUNCTION("""COMPUTED_VALUE"""),0.39749999999999996)</f>
        <v>0.3975</v>
      </c>
      <c r="D889" s="25">
        <f>IFERROR(__xludf.DUMMYFUNCTION("""COMPUTED_VALUE"""),0.6074999999999999)</f>
        <v>0.6075</v>
      </c>
      <c r="E889" s="20">
        <f>IFERROR(__xludf.DUMMYFUNCTION("""COMPUTED_VALUE"""),0.38848642857142857)</f>
        <v>0.3884864286</v>
      </c>
      <c r="F889" s="20">
        <f>IFERROR(__xludf.DUMMYFUNCTION("""COMPUTED_VALUE"""),0.40957345357142866)</f>
        <v>0.4095734536</v>
      </c>
      <c r="G889" s="20"/>
      <c r="H889" s="23"/>
      <c r="J889" s="22"/>
    </row>
    <row r="890">
      <c r="A890" s="24">
        <f>IFERROR(__xludf.DUMMYFUNCTION("""COMPUTED_VALUE"""),45450.0)</f>
        <v>45450</v>
      </c>
      <c r="B890" s="20">
        <f>IFERROR(__xludf.DUMMYFUNCTION("""COMPUTED_VALUE"""),0.4893157894736843)</f>
        <v>0.4893157895</v>
      </c>
      <c r="C890" s="21">
        <f>IFERROR(__xludf.DUMMYFUNCTION("""COMPUTED_VALUE"""),0.39749999999999996)</f>
        <v>0.3975</v>
      </c>
      <c r="D890" s="25">
        <f>IFERROR(__xludf.DUMMYFUNCTION("""COMPUTED_VALUE"""),0.6074999999999999)</f>
        <v>0.6075</v>
      </c>
      <c r="E890" s="20">
        <f>IFERROR(__xludf.DUMMYFUNCTION("""COMPUTED_VALUE"""),0.38680499999999995)</f>
        <v>0.386805</v>
      </c>
      <c r="F890" s="20">
        <f>IFERROR(__xludf.DUMMYFUNCTION("""COMPUTED_VALUE"""),0.40699360714285715)</f>
        <v>0.4069936071</v>
      </c>
      <c r="G890" s="20"/>
      <c r="H890" s="23"/>
      <c r="J890" s="22"/>
    </row>
    <row r="891">
      <c r="A891" s="24">
        <f>IFERROR(__xludf.DUMMYFUNCTION("""COMPUTED_VALUE"""),45451.0)</f>
        <v>45451</v>
      </c>
      <c r="B891" s="20">
        <f>IFERROR(__xludf.DUMMYFUNCTION("""COMPUTED_VALUE"""),0.4893157894736843)</f>
        <v>0.4893157895</v>
      </c>
      <c r="C891" s="21">
        <f>IFERROR(__xludf.DUMMYFUNCTION("""COMPUTED_VALUE"""),0.39749999999999996)</f>
        <v>0.3975</v>
      </c>
      <c r="D891" s="25">
        <f>IFERROR(__xludf.DUMMYFUNCTION("""COMPUTED_VALUE"""),0.6074999999999999)</f>
        <v>0.6075</v>
      </c>
      <c r="E891" s="20">
        <f>IFERROR(__xludf.DUMMYFUNCTION("""COMPUTED_VALUE"""),0.3847414285714285)</f>
        <v>0.3847414286</v>
      </c>
      <c r="F891" s="20">
        <f>IFERROR(__xludf.DUMMYFUNCTION("""COMPUTED_VALUE"""),0.4044137607142857)</f>
        <v>0.4044137607</v>
      </c>
      <c r="G891" s="20"/>
      <c r="H891" s="23"/>
      <c r="J891" s="22"/>
    </row>
    <row r="892">
      <c r="A892" s="24">
        <f>IFERROR(__xludf.DUMMYFUNCTION("""COMPUTED_VALUE"""),45452.0)</f>
        <v>45452</v>
      </c>
      <c r="B892" s="20">
        <f>IFERROR(__xludf.DUMMYFUNCTION("""COMPUTED_VALUE"""),0.4893157894736843)</f>
        <v>0.4893157895</v>
      </c>
      <c r="C892" s="21">
        <f>IFERROR(__xludf.DUMMYFUNCTION("""COMPUTED_VALUE"""),0.39749999999999996)</f>
        <v>0.3975</v>
      </c>
      <c r="D892" s="25">
        <f>IFERROR(__xludf.DUMMYFUNCTION("""COMPUTED_VALUE"""),0.6074999999999999)</f>
        <v>0.6075</v>
      </c>
      <c r="E892" s="20">
        <f>IFERROR(__xludf.DUMMYFUNCTION("""COMPUTED_VALUE"""),0.3826778571428571)</f>
        <v>0.3826778571</v>
      </c>
      <c r="F892" s="20">
        <f>IFERROR(__xludf.DUMMYFUNCTION("""COMPUTED_VALUE"""),0.40183391428571424)</f>
        <v>0.4018339143</v>
      </c>
      <c r="G892" s="20"/>
      <c r="H892" s="23"/>
      <c r="J892" s="22"/>
    </row>
    <row r="893">
      <c r="A893" s="24">
        <f>IFERROR(__xludf.DUMMYFUNCTION("""COMPUTED_VALUE"""),45453.0)</f>
        <v>45453</v>
      </c>
      <c r="B893" s="20">
        <f>IFERROR(__xludf.DUMMYFUNCTION("""COMPUTED_VALUE"""),0.496321052631579)</f>
        <v>0.4963210526</v>
      </c>
      <c r="C893" s="21">
        <f>IFERROR(__xludf.DUMMYFUNCTION("""COMPUTED_VALUE"""),0.4175)</f>
        <v>0.4175</v>
      </c>
      <c r="D893" s="25">
        <f>IFERROR(__xludf.DUMMYFUNCTION("""COMPUTED_VALUE"""),0.6125)</f>
        <v>0.6125</v>
      </c>
      <c r="E893" s="20">
        <f>IFERROR(__xludf.DUMMYFUNCTION("""COMPUTED_VALUE"""),0.3804614285714285)</f>
        <v>0.3804614286</v>
      </c>
      <c r="F893" s="20">
        <f>IFERROR(__xludf.DUMMYFUNCTION("""COMPUTED_VALUE"""),0.39914936071428564)</f>
        <v>0.3991493607</v>
      </c>
      <c r="G893" s="20"/>
      <c r="H893" s="23"/>
      <c r="J893" s="22"/>
    </row>
    <row r="894">
      <c r="A894" s="24">
        <f>IFERROR(__xludf.DUMMYFUNCTION("""COMPUTED_VALUE"""),45454.0)</f>
        <v>45454</v>
      </c>
      <c r="B894" s="20">
        <f>IFERROR(__xludf.DUMMYFUNCTION("""COMPUTED_VALUE"""),0.496321052631579)</f>
        <v>0.4963210526</v>
      </c>
      <c r="C894" s="21">
        <f>IFERROR(__xludf.DUMMYFUNCTION("""COMPUTED_VALUE"""),0.4175)</f>
        <v>0.4175</v>
      </c>
      <c r="D894" s="25">
        <f>IFERROR(__xludf.DUMMYFUNCTION("""COMPUTED_VALUE"""),0.6125)</f>
        <v>0.6125</v>
      </c>
      <c r="E894" s="20">
        <f>IFERROR(__xludf.DUMMYFUNCTION("""COMPUTED_VALUE"""),0.37671642857142856)</f>
        <v>0.3767164286</v>
      </c>
      <c r="F894" s="20">
        <f>IFERROR(__xludf.DUMMYFUNCTION("""COMPUTED_VALUE"""),0.3992647678571428)</f>
        <v>0.3992647679</v>
      </c>
      <c r="G894" s="20"/>
      <c r="H894" s="23"/>
      <c r="J894" s="22"/>
    </row>
    <row r="895">
      <c r="A895" s="24">
        <f>IFERROR(__xludf.DUMMYFUNCTION("""COMPUTED_VALUE"""),45455.0)</f>
        <v>45455</v>
      </c>
      <c r="B895" s="20">
        <f>IFERROR(__xludf.DUMMYFUNCTION("""COMPUTED_VALUE"""),0.496321052631579)</f>
        <v>0.4963210526</v>
      </c>
      <c r="C895" s="21">
        <f>IFERROR(__xludf.DUMMYFUNCTION("""COMPUTED_VALUE"""),0.4175)</f>
        <v>0.4175</v>
      </c>
      <c r="D895" s="25">
        <f>IFERROR(__xludf.DUMMYFUNCTION("""COMPUTED_VALUE"""),0.6125)</f>
        <v>0.6125</v>
      </c>
      <c r="E895" s="20">
        <f>IFERROR(__xludf.DUMMYFUNCTION("""COMPUTED_VALUE"""),0.3768692857142857)</f>
        <v>0.3768692857</v>
      </c>
      <c r="F895" s="20">
        <f>IFERROR(__xludf.DUMMYFUNCTION("""COMPUTED_VALUE"""),0.40150259642857133)</f>
        <v>0.4015025964</v>
      </c>
      <c r="G895" s="20"/>
      <c r="H895" s="23"/>
      <c r="J895" s="22"/>
    </row>
    <row r="896">
      <c r="A896" s="24">
        <f>IFERROR(__xludf.DUMMYFUNCTION("""COMPUTED_VALUE"""),45456.0)</f>
        <v>45456</v>
      </c>
      <c r="B896" s="20">
        <f>IFERROR(__xludf.DUMMYFUNCTION("""COMPUTED_VALUE"""),0.496321052631579)</f>
        <v>0.4963210526</v>
      </c>
      <c r="C896" s="21">
        <f>IFERROR(__xludf.DUMMYFUNCTION("""COMPUTED_VALUE"""),0.4175)</f>
        <v>0.4175</v>
      </c>
      <c r="D896" s="25">
        <f>IFERROR(__xludf.DUMMYFUNCTION("""COMPUTED_VALUE"""),0.6125)</f>
        <v>0.6125</v>
      </c>
      <c r="E896" s="20">
        <f>IFERROR(__xludf.DUMMYFUNCTION("""COMPUTED_VALUE"""),0.37878)</f>
        <v>0.37878</v>
      </c>
      <c r="F896" s="20">
        <f>IFERROR(__xludf.DUMMYFUNCTION("""COMPUTED_VALUE"""),0.40428345000000004)</f>
        <v>0.40428345</v>
      </c>
      <c r="G896" s="20"/>
      <c r="H896" s="23"/>
      <c r="J896" s="22"/>
    </row>
    <row r="897">
      <c r="A897" s="24">
        <f>IFERROR(__xludf.DUMMYFUNCTION("""COMPUTED_VALUE"""),45457.0)</f>
        <v>45457</v>
      </c>
      <c r="B897" s="20">
        <f>IFERROR(__xludf.DUMMYFUNCTION("""COMPUTED_VALUE"""),0.496321052631579)</f>
        <v>0.4963210526</v>
      </c>
      <c r="C897" s="21">
        <f>IFERROR(__xludf.DUMMYFUNCTION("""COMPUTED_VALUE"""),0.4175)</f>
        <v>0.4175</v>
      </c>
      <c r="D897" s="25">
        <f>IFERROR(__xludf.DUMMYFUNCTION("""COMPUTED_VALUE"""),0.6125)</f>
        <v>0.6125</v>
      </c>
      <c r="E897" s="20">
        <f>IFERROR(__xludf.DUMMYFUNCTION("""COMPUTED_VALUE"""),0.38306)</f>
        <v>0.38306</v>
      </c>
      <c r="F897" s="20">
        <f>IFERROR(__xludf.DUMMYFUNCTION("""COMPUTED_VALUE"""),0.4074395678571428)</f>
        <v>0.4074395679</v>
      </c>
      <c r="G897" s="20"/>
      <c r="H897" s="23"/>
      <c r="J897" s="22"/>
    </row>
    <row r="898">
      <c r="A898" s="24">
        <f>IFERROR(__xludf.DUMMYFUNCTION("""COMPUTED_VALUE"""),45458.0)</f>
        <v>45458</v>
      </c>
      <c r="B898" s="20">
        <f>IFERROR(__xludf.DUMMYFUNCTION("""COMPUTED_VALUE"""),0.496321052631579)</f>
        <v>0.4963210526</v>
      </c>
      <c r="C898" s="21">
        <f>IFERROR(__xludf.DUMMYFUNCTION("""COMPUTED_VALUE"""),0.4175)</f>
        <v>0.4175</v>
      </c>
      <c r="D898" s="25">
        <f>IFERROR(__xludf.DUMMYFUNCTION("""COMPUTED_VALUE"""),0.6125)</f>
        <v>0.6125</v>
      </c>
      <c r="E898" s="20">
        <f>IFERROR(__xludf.DUMMYFUNCTION("""COMPUTED_VALUE"""),0.3861171428571429)</f>
        <v>0.3861171429</v>
      </c>
      <c r="F898" s="20">
        <f>IFERROR(__xludf.DUMMYFUNCTION("""COMPUTED_VALUE"""),0.4105956857142857)</f>
        <v>0.4105956857</v>
      </c>
      <c r="G898" s="20"/>
      <c r="H898" s="23"/>
      <c r="J898" s="22"/>
    </row>
    <row r="899">
      <c r="A899" s="24">
        <f>IFERROR(__xludf.DUMMYFUNCTION("""COMPUTED_VALUE"""),45459.0)</f>
        <v>45459</v>
      </c>
      <c r="B899" s="20">
        <f>IFERROR(__xludf.DUMMYFUNCTION("""COMPUTED_VALUE"""),0.496321052631579)</f>
        <v>0.4963210526</v>
      </c>
      <c r="C899" s="21">
        <f>IFERROR(__xludf.DUMMYFUNCTION("""COMPUTED_VALUE"""),0.4175)</f>
        <v>0.4175</v>
      </c>
      <c r="D899" s="25">
        <f>IFERROR(__xludf.DUMMYFUNCTION("""COMPUTED_VALUE"""),0.6125)</f>
        <v>0.6125</v>
      </c>
      <c r="E899" s="20">
        <f>IFERROR(__xludf.DUMMYFUNCTION("""COMPUTED_VALUE"""),0.3891742857142857)</f>
        <v>0.3891742857</v>
      </c>
      <c r="F899" s="20">
        <f>IFERROR(__xludf.DUMMYFUNCTION("""COMPUTED_VALUE"""),0.41375180357142854)</f>
        <v>0.4137518036</v>
      </c>
      <c r="G899" s="20"/>
      <c r="H899" s="23"/>
      <c r="J899" s="22"/>
    </row>
    <row r="900">
      <c r="A900" s="24">
        <f>IFERROR(__xludf.DUMMYFUNCTION("""COMPUTED_VALUE"""),45460.0)</f>
        <v>45460</v>
      </c>
      <c r="B900" s="20">
        <f>IFERROR(__xludf.DUMMYFUNCTION("""COMPUTED_VALUE"""),0.496321052631579)</f>
        <v>0.4963210526</v>
      </c>
      <c r="C900" s="21">
        <f>IFERROR(__xludf.DUMMYFUNCTION("""COMPUTED_VALUE"""),0.4175)</f>
        <v>0.4175</v>
      </c>
      <c r="D900" s="25">
        <f>IFERROR(__xludf.DUMMYFUNCTION("""COMPUTED_VALUE"""),0.6125)</f>
        <v>0.6125</v>
      </c>
      <c r="E900" s="20">
        <f>IFERROR(__xludf.DUMMYFUNCTION("""COMPUTED_VALUE"""),0.39284285714285716)</f>
        <v>0.3928428571</v>
      </c>
      <c r="F900" s="20">
        <f>IFERROR(__xludf.DUMMYFUNCTION("""COMPUTED_VALUE"""),0.41385803928571424)</f>
        <v>0.4138580393</v>
      </c>
      <c r="G900" s="20"/>
      <c r="H900" s="23"/>
      <c r="J900" s="22"/>
    </row>
    <row r="901">
      <c r="A901" s="24">
        <f>IFERROR(__xludf.DUMMYFUNCTION("""COMPUTED_VALUE"""),45461.0)</f>
        <v>45461</v>
      </c>
      <c r="B901" s="20">
        <f>IFERROR(__xludf.DUMMYFUNCTION("""COMPUTED_VALUE"""),0.496321052631579)</f>
        <v>0.4963210526</v>
      </c>
      <c r="C901" s="21">
        <f>IFERROR(__xludf.DUMMYFUNCTION("""COMPUTED_VALUE"""),0.4175)</f>
        <v>0.4175</v>
      </c>
      <c r="D901" s="25">
        <f>IFERROR(__xludf.DUMMYFUNCTION("""COMPUTED_VALUE"""),0.6125)</f>
        <v>0.6125</v>
      </c>
      <c r="E901" s="20">
        <f>IFERROR(__xludf.DUMMYFUNCTION("""COMPUTED_VALUE"""),0.3941421428571429)</f>
        <v>0.3941421429</v>
      </c>
      <c r="F901" s="20">
        <f>IFERROR(__xludf.DUMMYFUNCTION("""COMPUTED_VALUE"""),0.41472321071428564)</f>
        <v>0.4147232107</v>
      </c>
      <c r="G901" s="20"/>
      <c r="H901" s="23"/>
      <c r="J901" s="22"/>
    </row>
    <row r="902">
      <c r="A902" s="24">
        <f>IFERROR(__xludf.DUMMYFUNCTION("""COMPUTED_VALUE"""),45462.0)</f>
        <v>45462</v>
      </c>
      <c r="B902" s="20">
        <f>IFERROR(__xludf.DUMMYFUNCTION("""COMPUTED_VALUE"""),0.496321052631579)</f>
        <v>0.4963210526</v>
      </c>
      <c r="C902" s="21">
        <f>IFERROR(__xludf.DUMMYFUNCTION("""COMPUTED_VALUE"""),0.4175)</f>
        <v>0.4175</v>
      </c>
      <c r="D902" s="25">
        <f>IFERROR(__xludf.DUMMYFUNCTION("""COMPUTED_VALUE"""),0.6125)</f>
        <v>0.6125</v>
      </c>
      <c r="E902" s="20">
        <f>IFERROR(__xludf.DUMMYFUNCTION("""COMPUTED_VALUE"""),0.3952885714285714)</f>
        <v>0.3952885714</v>
      </c>
      <c r="F902" s="20">
        <f>IFERROR(__xludf.DUMMYFUNCTION("""COMPUTED_VALUE"""),0.415644175)</f>
        <v>0.415644175</v>
      </c>
      <c r="G902" s="20"/>
      <c r="H902" s="23"/>
      <c r="J902" s="22"/>
    </row>
    <row r="903">
      <c r="A903" s="24">
        <f>IFERROR(__xludf.DUMMYFUNCTION("""COMPUTED_VALUE"""),45463.0)</f>
        <v>45463</v>
      </c>
      <c r="B903" s="20">
        <f>IFERROR(__xludf.DUMMYFUNCTION("""COMPUTED_VALUE"""),0.496321052631579)</f>
        <v>0.4963210526</v>
      </c>
      <c r="C903" s="21">
        <f>IFERROR(__xludf.DUMMYFUNCTION("""COMPUTED_VALUE"""),0.4175)</f>
        <v>0.4175</v>
      </c>
      <c r="D903" s="25">
        <f>IFERROR(__xludf.DUMMYFUNCTION("""COMPUTED_VALUE"""),0.6125)</f>
        <v>0.6125</v>
      </c>
      <c r="E903" s="20">
        <f>IFERROR(__xludf.DUMMYFUNCTION("""COMPUTED_VALUE"""),0.3965878571428571)</f>
        <v>0.3965878571</v>
      </c>
      <c r="F903" s="20">
        <f>IFERROR(__xludf.DUMMYFUNCTION("""COMPUTED_VALUE"""),0.4151909535714285)</f>
        <v>0.4151909536</v>
      </c>
      <c r="G903" s="20"/>
      <c r="H903" s="23"/>
      <c r="J903" s="22"/>
    </row>
    <row r="904">
      <c r="A904" s="24">
        <f>IFERROR(__xludf.DUMMYFUNCTION("""COMPUTED_VALUE"""),45464.0)</f>
        <v>45464</v>
      </c>
      <c r="B904" s="20">
        <f>IFERROR(__xludf.DUMMYFUNCTION("""COMPUTED_VALUE"""),0.496321052631579)</f>
        <v>0.4963210526</v>
      </c>
      <c r="C904" s="21">
        <f>IFERROR(__xludf.DUMMYFUNCTION("""COMPUTED_VALUE"""),0.4175)</f>
        <v>0.4175</v>
      </c>
      <c r="D904" s="25">
        <f>IFERROR(__xludf.DUMMYFUNCTION("""COMPUTED_VALUE"""),0.6125)</f>
        <v>0.6125</v>
      </c>
      <c r="E904" s="20">
        <f>IFERROR(__xludf.DUMMYFUNCTION("""COMPUTED_VALUE"""),0.3955178571428571)</f>
        <v>0.3955178571</v>
      </c>
      <c r="F904" s="20">
        <f>IFERROR(__xludf.DUMMYFUNCTION("""COMPUTED_VALUE"""),0.4142757214285714)</f>
        <v>0.4142757214</v>
      </c>
      <c r="G904" s="20"/>
      <c r="H904" s="23"/>
      <c r="J904" s="22"/>
    </row>
    <row r="905">
      <c r="A905" s="24">
        <f>IFERROR(__xludf.DUMMYFUNCTION("""COMPUTED_VALUE"""),45465.0)</f>
        <v>45465</v>
      </c>
      <c r="B905" s="20">
        <f>IFERROR(__xludf.DUMMYFUNCTION("""COMPUTED_VALUE"""),0.496321052631579)</f>
        <v>0.4963210526</v>
      </c>
      <c r="C905" s="21">
        <f>IFERROR(__xludf.DUMMYFUNCTION("""COMPUTED_VALUE"""),0.4175)</f>
        <v>0.4175</v>
      </c>
      <c r="D905" s="25">
        <f>IFERROR(__xludf.DUMMYFUNCTION("""COMPUTED_VALUE"""),0.6125)</f>
        <v>0.6125</v>
      </c>
      <c r="E905" s="20">
        <f>IFERROR(__xludf.DUMMYFUNCTION("""COMPUTED_VALUE"""),0.39383642857142853)</f>
        <v>0.3938364286</v>
      </c>
      <c r="F905" s="20">
        <f>IFERROR(__xludf.DUMMYFUNCTION("""COMPUTED_VALUE"""),0.4133604892857143)</f>
        <v>0.4133604893</v>
      </c>
      <c r="G905" s="20"/>
      <c r="H905" s="23"/>
      <c r="J905" s="22"/>
    </row>
    <row r="906">
      <c r="A906" s="24">
        <f>IFERROR(__xludf.DUMMYFUNCTION("""COMPUTED_VALUE"""),45466.0)</f>
        <v>45466</v>
      </c>
      <c r="B906" s="20">
        <f>IFERROR(__xludf.DUMMYFUNCTION("""COMPUTED_VALUE"""),0.496321052631579)</f>
        <v>0.4963210526</v>
      </c>
      <c r="C906" s="21">
        <f>IFERROR(__xludf.DUMMYFUNCTION("""COMPUTED_VALUE"""),0.4175)</f>
        <v>0.4175</v>
      </c>
      <c r="D906" s="25">
        <f>IFERROR(__xludf.DUMMYFUNCTION("""COMPUTED_VALUE"""),0.6125)</f>
        <v>0.6125</v>
      </c>
      <c r="E906" s="20">
        <f>IFERROR(__xludf.DUMMYFUNCTION("""COMPUTED_VALUE"""),0.3921549999999999)</f>
        <v>0.392155</v>
      </c>
      <c r="F906" s="20">
        <f>IFERROR(__xludf.DUMMYFUNCTION("""COMPUTED_VALUE"""),0.4124452571428572)</f>
        <v>0.4124452571</v>
      </c>
      <c r="G906" s="20"/>
      <c r="H906" s="23"/>
      <c r="J906" s="22"/>
    </row>
    <row r="907">
      <c r="A907" s="24">
        <f>IFERROR(__xludf.DUMMYFUNCTION("""COMPUTED_VALUE"""),45467.0)</f>
        <v>45467</v>
      </c>
      <c r="B907" s="20">
        <f>IFERROR(__xludf.DUMMYFUNCTION("""COMPUTED_VALUE"""),0.502478947368421)</f>
        <v>0.5024789474</v>
      </c>
      <c r="C907" s="21">
        <f>IFERROR(__xludf.DUMMYFUNCTION("""COMPUTED_VALUE"""),0.4275)</f>
        <v>0.4275</v>
      </c>
      <c r="D907" s="25">
        <f>IFERROR(__xludf.DUMMYFUNCTION("""COMPUTED_VALUE"""),0.625)</f>
        <v>0.625</v>
      </c>
      <c r="E907" s="20">
        <f>IFERROR(__xludf.DUMMYFUNCTION("""COMPUTED_VALUE"""),0.3907792857142857)</f>
        <v>0.3907792857</v>
      </c>
      <c r="F907" s="20">
        <f>IFERROR(__xludf.DUMMYFUNCTION("""COMPUTED_VALUE"""),0.41309260714285717)</f>
        <v>0.4130926071</v>
      </c>
      <c r="G907" s="20"/>
      <c r="H907" s="23"/>
      <c r="J907" s="22"/>
    </row>
    <row r="908">
      <c r="A908" s="24">
        <f>IFERROR(__xludf.DUMMYFUNCTION("""COMPUTED_VALUE"""),45468.0)</f>
        <v>45468</v>
      </c>
      <c r="B908" s="20">
        <f>IFERROR(__xludf.DUMMYFUNCTION("""COMPUTED_VALUE"""),0.502478947368421)</f>
        <v>0.5024789474</v>
      </c>
      <c r="C908" s="21">
        <f>IFERROR(__xludf.DUMMYFUNCTION("""COMPUTED_VALUE"""),0.4275)</f>
        <v>0.4275</v>
      </c>
      <c r="D908" s="25">
        <f>IFERROR(__xludf.DUMMYFUNCTION("""COMPUTED_VALUE"""),0.625)</f>
        <v>0.625</v>
      </c>
      <c r="E908" s="20">
        <f>IFERROR(__xludf.DUMMYFUNCTION("""COMPUTED_VALUE"""),0.39062642857142854)</f>
        <v>0.3906264286</v>
      </c>
      <c r="F908" s="20">
        <f>IFERROR(__xludf.DUMMYFUNCTION("""COMPUTED_VALUE"""),0.41398108928571425)</f>
        <v>0.4139810893</v>
      </c>
      <c r="G908" s="20"/>
      <c r="H908" s="23"/>
      <c r="J908" s="22"/>
    </row>
    <row r="909">
      <c r="A909" s="24">
        <f>IFERROR(__xludf.DUMMYFUNCTION("""COMPUTED_VALUE"""),45469.0)</f>
        <v>45469</v>
      </c>
      <c r="B909" s="20">
        <f>IFERROR(__xludf.DUMMYFUNCTION("""COMPUTED_VALUE"""),0.502478947368421)</f>
        <v>0.5024789474</v>
      </c>
      <c r="C909" s="21">
        <f>IFERROR(__xludf.DUMMYFUNCTION("""COMPUTED_VALUE"""),0.4275)</f>
        <v>0.4275</v>
      </c>
      <c r="D909" s="25">
        <f>IFERROR(__xludf.DUMMYFUNCTION("""COMPUTED_VALUE"""),0.625)</f>
        <v>0.625</v>
      </c>
      <c r="E909" s="20">
        <f>IFERROR(__xludf.DUMMYFUNCTION("""COMPUTED_VALUE"""),0.3907792857142857)</f>
        <v>0.3907792857</v>
      </c>
      <c r="F909" s="20">
        <f>IFERROR(__xludf.DUMMYFUNCTION("""COMPUTED_VALUE"""),0.41241850714285716)</f>
        <v>0.4124185071</v>
      </c>
      <c r="G909" s="20"/>
      <c r="H909" s="23"/>
      <c r="J909" s="22"/>
    </row>
    <row r="910">
      <c r="A910" s="24">
        <f>IFERROR(__xludf.DUMMYFUNCTION("""COMPUTED_VALUE"""),45470.0)</f>
        <v>45470</v>
      </c>
      <c r="B910" s="20">
        <f>IFERROR(__xludf.DUMMYFUNCTION("""COMPUTED_VALUE"""),0.502478947368421)</f>
        <v>0.5024789474</v>
      </c>
      <c r="C910" s="21">
        <f>IFERROR(__xludf.DUMMYFUNCTION("""COMPUTED_VALUE"""),0.4275)</f>
        <v>0.4275</v>
      </c>
      <c r="D910" s="25">
        <f>IFERROR(__xludf.DUMMYFUNCTION("""COMPUTED_VALUE"""),0.625)</f>
        <v>0.625</v>
      </c>
      <c r="E910" s="20">
        <f>IFERROR(__xludf.DUMMYFUNCTION("""COMPUTED_VALUE"""),0.388945)</f>
        <v>0.388945</v>
      </c>
      <c r="F910" s="20">
        <f>IFERROR(__xludf.DUMMYFUNCTION("""COMPUTED_VALUE"""),0.4131449607142857)</f>
        <v>0.4131449607</v>
      </c>
      <c r="G910" s="20"/>
      <c r="H910" s="23"/>
      <c r="J910" s="22"/>
    </row>
    <row r="911">
      <c r="A911" s="24">
        <f>IFERROR(__xludf.DUMMYFUNCTION("""COMPUTED_VALUE"""),45471.0)</f>
        <v>45471</v>
      </c>
      <c r="B911" s="20">
        <f>IFERROR(__xludf.DUMMYFUNCTION("""COMPUTED_VALUE"""),0.502478947368421)</f>
        <v>0.5024789474</v>
      </c>
      <c r="C911" s="21">
        <f>IFERROR(__xludf.DUMMYFUNCTION("""COMPUTED_VALUE"""),0.4275)</f>
        <v>0.4275</v>
      </c>
      <c r="D911" s="25">
        <f>IFERROR(__xludf.DUMMYFUNCTION("""COMPUTED_VALUE"""),0.625)</f>
        <v>0.625</v>
      </c>
      <c r="E911" s="20">
        <f>IFERROR(__xludf.DUMMYFUNCTION("""COMPUTED_VALUE"""),0.387875)</f>
        <v>0.387875</v>
      </c>
      <c r="F911" s="20">
        <f>IFERROR(__xludf.DUMMYFUNCTION("""COMPUTED_VALUE"""),0.41473352857142853)</f>
        <v>0.4147335286</v>
      </c>
      <c r="G911" s="20"/>
      <c r="H911" s="23"/>
      <c r="J911" s="22"/>
    </row>
    <row r="912">
      <c r="A912" s="24">
        <f>IFERROR(__xludf.DUMMYFUNCTION("""COMPUTED_VALUE"""),45472.0)</f>
        <v>45472</v>
      </c>
      <c r="B912" s="20">
        <f>IFERROR(__xludf.DUMMYFUNCTION("""COMPUTED_VALUE"""),0.502478947368421)</f>
        <v>0.5024789474</v>
      </c>
      <c r="C912" s="21">
        <f>IFERROR(__xludf.DUMMYFUNCTION("""COMPUTED_VALUE"""),0.4275)</f>
        <v>0.4275</v>
      </c>
      <c r="D912" s="25">
        <f>IFERROR(__xludf.DUMMYFUNCTION("""COMPUTED_VALUE"""),0.625)</f>
        <v>0.625</v>
      </c>
      <c r="E912" s="20">
        <f>IFERROR(__xludf.DUMMYFUNCTION("""COMPUTED_VALUE"""),0.3877221428571428)</f>
        <v>0.3877221429</v>
      </c>
      <c r="F912" s="20">
        <f>IFERROR(__xludf.DUMMYFUNCTION("""COMPUTED_VALUE"""),0.4163220964285714)</f>
        <v>0.4163220964</v>
      </c>
      <c r="G912" s="20"/>
      <c r="H912" s="23"/>
      <c r="J912" s="22"/>
    </row>
    <row r="913">
      <c r="A913" s="24">
        <f>IFERROR(__xludf.DUMMYFUNCTION("""COMPUTED_VALUE"""),45473.0)</f>
        <v>45473</v>
      </c>
      <c r="B913" s="20">
        <f>IFERROR(__xludf.DUMMYFUNCTION("""COMPUTED_VALUE"""),0.502478947368421)</f>
        <v>0.5024789474</v>
      </c>
      <c r="C913" s="21">
        <f>IFERROR(__xludf.DUMMYFUNCTION("""COMPUTED_VALUE"""),0.4275)</f>
        <v>0.4275</v>
      </c>
      <c r="D913" s="25">
        <f>IFERROR(__xludf.DUMMYFUNCTION("""COMPUTED_VALUE"""),0.625)</f>
        <v>0.625</v>
      </c>
      <c r="E913" s="20">
        <f>IFERROR(__xludf.DUMMYFUNCTION("""COMPUTED_VALUE"""),0.38756928571428567)</f>
        <v>0.3875692857</v>
      </c>
      <c r="F913" s="20">
        <f>IFERROR(__xludf.DUMMYFUNCTION("""COMPUTED_VALUE"""),0.41791066428571416)</f>
        <v>0.4179106643</v>
      </c>
      <c r="G913" s="20"/>
      <c r="H913" s="23"/>
      <c r="J913" s="22"/>
    </row>
    <row r="914">
      <c r="A914" s="24">
        <f>IFERROR(__xludf.DUMMYFUNCTION("""COMPUTED_VALUE"""),45474.0)</f>
        <v>45474</v>
      </c>
      <c r="B914" s="20">
        <f>IFERROR(__xludf.DUMMYFUNCTION("""COMPUTED_VALUE"""),0.502478947368421)</f>
        <v>0.5024789474</v>
      </c>
      <c r="C914" s="21">
        <f>IFERROR(__xludf.DUMMYFUNCTION("""COMPUTED_VALUE"""),0.4275)</f>
        <v>0.4275</v>
      </c>
      <c r="D914" s="25">
        <f>IFERROR(__xludf.DUMMYFUNCTION("""COMPUTED_VALUE"""),0.625)</f>
        <v>0.625</v>
      </c>
      <c r="E914" s="20">
        <f>IFERROR(__xludf.DUMMYFUNCTION("""COMPUTED_VALUE"""),0.38726357142857143)</f>
        <v>0.3872635714</v>
      </c>
      <c r="F914" s="20">
        <f>IFERROR(__xludf.DUMMYFUNCTION("""COMPUTED_VALUE"""),0.4186986428571428)</f>
        <v>0.4186986429</v>
      </c>
      <c r="G914" s="20"/>
      <c r="H914" s="23"/>
      <c r="J914" s="22"/>
    </row>
    <row r="915">
      <c r="A915" s="24">
        <f>IFERROR(__xludf.DUMMYFUNCTION("""COMPUTED_VALUE"""),45475.0)</f>
        <v>45475</v>
      </c>
      <c r="B915" s="20">
        <f>IFERROR(__xludf.DUMMYFUNCTION("""COMPUTED_VALUE"""),0.502478947368421)</f>
        <v>0.5024789474</v>
      </c>
      <c r="C915" s="21">
        <f>IFERROR(__xludf.DUMMYFUNCTION("""COMPUTED_VALUE"""),0.4275)</f>
        <v>0.4275</v>
      </c>
      <c r="D915" s="25">
        <f>IFERROR(__xludf.DUMMYFUNCTION("""COMPUTED_VALUE"""),0.625)</f>
        <v>0.625</v>
      </c>
      <c r="E915" s="20">
        <f>IFERROR(__xludf.DUMMYFUNCTION("""COMPUTED_VALUE"""),0.385735)</f>
        <v>0.385735</v>
      </c>
      <c r="F915" s="20">
        <f>IFERROR(__xludf.DUMMYFUNCTION("""COMPUTED_VALUE"""),0.41935669285714283)</f>
        <v>0.4193566929</v>
      </c>
      <c r="G915" s="20"/>
      <c r="H915" s="23"/>
      <c r="J915" s="22"/>
    </row>
    <row r="916">
      <c r="A916" s="24">
        <f>IFERROR(__xludf.DUMMYFUNCTION("""COMPUTED_VALUE"""),45476.0)</f>
        <v>45476</v>
      </c>
      <c r="B916" s="20">
        <f>IFERROR(__xludf.DUMMYFUNCTION("""COMPUTED_VALUE"""),0.502478947368421)</f>
        <v>0.5024789474</v>
      </c>
      <c r="C916" s="21">
        <f>IFERROR(__xludf.DUMMYFUNCTION("""COMPUTED_VALUE"""),0.4275)</f>
        <v>0.4275</v>
      </c>
      <c r="D916" s="25">
        <f>IFERROR(__xludf.DUMMYFUNCTION("""COMPUTED_VALUE"""),0.625)</f>
        <v>0.625</v>
      </c>
      <c r="E916" s="20">
        <f>IFERROR(__xludf.DUMMYFUNCTION("""COMPUTED_VALUE"""),0.3829835714285714)</f>
        <v>0.3829835714</v>
      </c>
      <c r="F916" s="20">
        <f>IFERROR(__xludf.DUMMYFUNCTION("""COMPUTED_VALUE"""),0.42042134285714283)</f>
        <v>0.4204213429</v>
      </c>
      <c r="G916" s="20"/>
      <c r="H916" s="23"/>
      <c r="J916" s="22"/>
    </row>
    <row r="917">
      <c r="A917" s="24">
        <f>IFERROR(__xludf.DUMMYFUNCTION("""COMPUTED_VALUE"""),45477.0)</f>
        <v>45477</v>
      </c>
      <c r="B917" s="20">
        <f>IFERROR(__xludf.DUMMYFUNCTION("""COMPUTED_VALUE"""),0.502478947368421)</f>
        <v>0.5024789474</v>
      </c>
      <c r="C917" s="21">
        <f>IFERROR(__xludf.DUMMYFUNCTION("""COMPUTED_VALUE"""),0.4275)</f>
        <v>0.4275</v>
      </c>
      <c r="D917" s="25">
        <f>IFERROR(__xludf.DUMMYFUNCTION("""COMPUTED_VALUE"""),0.625)</f>
        <v>0.625</v>
      </c>
      <c r="E917" s="20">
        <f>IFERROR(__xludf.DUMMYFUNCTION("""COMPUTED_VALUE"""),0.3800792857142857)</f>
        <v>0.3800792857</v>
      </c>
      <c r="F917" s="20">
        <f>IFERROR(__xludf.DUMMYFUNCTION("""COMPUTED_VALUE"""),0.42003996428571416)</f>
        <v>0.4200399643</v>
      </c>
      <c r="G917" s="20"/>
      <c r="H917" s="23"/>
      <c r="J917" s="22"/>
    </row>
    <row r="918">
      <c r="A918" s="24">
        <f>IFERROR(__xludf.DUMMYFUNCTION("""COMPUTED_VALUE"""),45478.0)</f>
        <v>45478</v>
      </c>
      <c r="B918" s="20">
        <f>IFERROR(__xludf.DUMMYFUNCTION("""COMPUTED_VALUE"""),0.502478947368421)</f>
        <v>0.5024789474</v>
      </c>
      <c r="C918" s="21">
        <f>IFERROR(__xludf.DUMMYFUNCTION("""COMPUTED_VALUE"""),0.4275)</f>
        <v>0.4275</v>
      </c>
      <c r="D918" s="25">
        <f>IFERROR(__xludf.DUMMYFUNCTION("""COMPUTED_VALUE"""),0.625)</f>
        <v>0.625</v>
      </c>
      <c r="E918" s="20">
        <f>IFERROR(__xludf.DUMMYFUNCTION("""COMPUTED_VALUE"""),0.3778628571428571)</f>
        <v>0.3778628571</v>
      </c>
      <c r="F918" s="20">
        <f>IFERROR(__xludf.DUMMYFUNCTION("""COMPUTED_VALUE"""),0.41925657142857137)</f>
        <v>0.4192565714</v>
      </c>
      <c r="G918" s="20"/>
      <c r="H918" s="23"/>
      <c r="J918" s="22"/>
    </row>
    <row r="919">
      <c r="A919" s="24">
        <f>IFERROR(__xludf.DUMMYFUNCTION("""COMPUTED_VALUE"""),45479.0)</f>
        <v>45479</v>
      </c>
      <c r="B919" s="20">
        <f>IFERROR(__xludf.DUMMYFUNCTION("""COMPUTED_VALUE"""),0.502478947368421)</f>
        <v>0.5024789474</v>
      </c>
      <c r="C919" s="21">
        <f>IFERROR(__xludf.DUMMYFUNCTION("""COMPUTED_VALUE"""),0.4275)</f>
        <v>0.4275</v>
      </c>
      <c r="D919" s="25">
        <f>IFERROR(__xludf.DUMMYFUNCTION("""COMPUTED_VALUE"""),0.625)</f>
        <v>0.625</v>
      </c>
      <c r="E919" s="20">
        <f>IFERROR(__xludf.DUMMYFUNCTION("""COMPUTED_VALUE"""),0.37656357142857144)</f>
        <v>0.3765635714</v>
      </c>
      <c r="F919" s="20">
        <f>IFERROR(__xludf.DUMMYFUNCTION("""COMPUTED_VALUE"""),0.4184731785714285)</f>
        <v>0.4184731786</v>
      </c>
      <c r="G919" s="20"/>
      <c r="H919" s="23"/>
      <c r="J919" s="22"/>
    </row>
    <row r="920">
      <c r="A920" s="24">
        <f>IFERROR(__xludf.DUMMYFUNCTION("""COMPUTED_VALUE"""),45480.0)</f>
        <v>45480</v>
      </c>
      <c r="B920" s="20">
        <f>IFERROR(__xludf.DUMMYFUNCTION("""COMPUTED_VALUE"""),0.502478947368421)</f>
        <v>0.5024789474</v>
      </c>
      <c r="C920" s="21">
        <f>IFERROR(__xludf.DUMMYFUNCTION("""COMPUTED_VALUE"""),0.4275)</f>
        <v>0.4275</v>
      </c>
      <c r="D920" s="25">
        <f>IFERROR(__xludf.DUMMYFUNCTION("""COMPUTED_VALUE"""),0.625)</f>
        <v>0.625</v>
      </c>
      <c r="E920" s="20">
        <f>IFERROR(__xludf.DUMMYFUNCTION("""COMPUTED_VALUE"""),0.3752642857142857)</f>
        <v>0.3752642857</v>
      </c>
      <c r="F920" s="20">
        <f>IFERROR(__xludf.DUMMYFUNCTION("""COMPUTED_VALUE"""),0.4176897857142857)</f>
        <v>0.4176897857</v>
      </c>
      <c r="G920" s="20"/>
      <c r="H920" s="23"/>
      <c r="J920" s="22"/>
    </row>
    <row r="921">
      <c r="A921" s="24">
        <f>IFERROR(__xludf.DUMMYFUNCTION("""COMPUTED_VALUE"""),45481.0)</f>
        <v>45481</v>
      </c>
      <c r="B921" s="20">
        <f>IFERROR(__xludf.DUMMYFUNCTION("""COMPUTED_VALUE"""),0.502478947368421)</f>
        <v>0.5024789474</v>
      </c>
      <c r="C921" s="21">
        <f>IFERROR(__xludf.DUMMYFUNCTION("""COMPUTED_VALUE"""),0.4275)</f>
        <v>0.4275</v>
      </c>
      <c r="D921" s="25">
        <f>IFERROR(__xludf.DUMMYFUNCTION("""COMPUTED_VALUE"""),0.625)</f>
        <v>0.625</v>
      </c>
      <c r="E921" s="20">
        <f>IFERROR(__xludf.DUMMYFUNCTION("""COMPUTED_VALUE"""),0.37488214285714283)</f>
        <v>0.3748821429</v>
      </c>
      <c r="F921" s="20">
        <f>IFERROR(__xludf.DUMMYFUNCTION("""COMPUTED_VALUE"""),0.41697976428571426)</f>
        <v>0.4169797643</v>
      </c>
      <c r="G921" s="20"/>
      <c r="H921" s="23"/>
      <c r="J921" s="22"/>
    </row>
    <row r="922">
      <c r="A922" s="24">
        <f>IFERROR(__xludf.DUMMYFUNCTION("""COMPUTED_VALUE"""),45482.0)</f>
        <v>45482</v>
      </c>
      <c r="B922" s="20">
        <f>IFERROR(__xludf.DUMMYFUNCTION("""COMPUTED_VALUE"""),0.502478947368421)</f>
        <v>0.5024789474</v>
      </c>
      <c r="C922" s="21">
        <f>IFERROR(__xludf.DUMMYFUNCTION("""COMPUTED_VALUE"""),0.4275)</f>
        <v>0.4275</v>
      </c>
      <c r="D922" s="25">
        <f>IFERROR(__xludf.DUMMYFUNCTION("""COMPUTED_VALUE"""),0.625)</f>
        <v>0.625</v>
      </c>
      <c r="E922" s="20">
        <f>IFERROR(__xludf.DUMMYFUNCTION("""COMPUTED_VALUE"""),0.37365928571428564)</f>
        <v>0.3736592857</v>
      </c>
      <c r="F922" s="20">
        <f>IFERROR(__xludf.DUMMYFUNCTION("""COMPUTED_VALUE"""),0.41384733928571427)</f>
        <v>0.4138473393</v>
      </c>
      <c r="G922" s="20"/>
      <c r="H922" s="23"/>
      <c r="J922" s="22"/>
    </row>
    <row r="923">
      <c r="A923" s="24">
        <f>IFERROR(__xludf.DUMMYFUNCTION("""COMPUTED_VALUE"""),45483.0)</f>
        <v>45483</v>
      </c>
      <c r="B923" s="20">
        <f>IFERROR(__xludf.DUMMYFUNCTION("""COMPUTED_VALUE"""),0.502478947368421)</f>
        <v>0.5024789474</v>
      </c>
      <c r="C923" s="21">
        <f>IFERROR(__xludf.DUMMYFUNCTION("""COMPUTED_VALUE"""),0.4275)</f>
        <v>0.4275</v>
      </c>
      <c r="D923" s="25">
        <f>IFERROR(__xludf.DUMMYFUNCTION("""COMPUTED_VALUE"""),0.625)</f>
        <v>0.625</v>
      </c>
      <c r="E923" s="20">
        <f>IFERROR(__xludf.DUMMYFUNCTION("""COMPUTED_VALUE"""),0.370755)</f>
        <v>0.370755</v>
      </c>
      <c r="F923" s="20">
        <f>IFERROR(__xludf.DUMMYFUNCTION("""COMPUTED_VALUE"""),0.41108177142857144)</f>
        <v>0.4110817714</v>
      </c>
      <c r="G923" s="20"/>
      <c r="H923" s="23"/>
      <c r="J923" s="22"/>
    </row>
    <row r="924">
      <c r="A924" s="24">
        <f>IFERROR(__xludf.DUMMYFUNCTION("""COMPUTED_VALUE"""),45484.0)</f>
        <v>45484</v>
      </c>
      <c r="B924" s="20">
        <f>IFERROR(__xludf.DUMMYFUNCTION("""COMPUTED_VALUE"""),0.502478947368421)</f>
        <v>0.5024789474</v>
      </c>
      <c r="C924" s="21">
        <f>IFERROR(__xludf.DUMMYFUNCTION("""COMPUTED_VALUE"""),0.4275)</f>
        <v>0.4275</v>
      </c>
      <c r="D924" s="25">
        <f>IFERROR(__xludf.DUMMYFUNCTION("""COMPUTED_VALUE"""),0.625)</f>
        <v>0.625</v>
      </c>
      <c r="E924" s="20">
        <f>IFERROR(__xludf.DUMMYFUNCTION("""COMPUTED_VALUE"""),0.3697614285714285)</f>
        <v>0.3697614286</v>
      </c>
      <c r="F924" s="20">
        <f>IFERROR(__xludf.DUMMYFUNCTION("""COMPUTED_VALUE"""),0.4084927535714286)</f>
        <v>0.4084927536</v>
      </c>
      <c r="G924" s="20"/>
      <c r="H924" s="23"/>
      <c r="J924" s="22"/>
    </row>
    <row r="925">
      <c r="A925" s="24">
        <f>IFERROR(__xludf.DUMMYFUNCTION("""COMPUTED_VALUE"""),45485.0)</f>
        <v>45485</v>
      </c>
      <c r="B925" s="20">
        <f>IFERROR(__xludf.DUMMYFUNCTION("""COMPUTED_VALUE"""),0.502478947368421)</f>
        <v>0.5024789474</v>
      </c>
      <c r="C925" s="21">
        <f>IFERROR(__xludf.DUMMYFUNCTION("""COMPUTED_VALUE"""),0.4275)</f>
        <v>0.4275</v>
      </c>
      <c r="D925" s="25">
        <f>IFERROR(__xludf.DUMMYFUNCTION("""COMPUTED_VALUE"""),0.625)</f>
        <v>0.625</v>
      </c>
      <c r="E925" s="20">
        <f>IFERROR(__xludf.DUMMYFUNCTION("""COMPUTED_VALUE"""),0.3683092857142857)</f>
        <v>0.3683092857</v>
      </c>
      <c r="F925" s="20">
        <f>IFERROR(__xludf.DUMMYFUNCTION("""COMPUTED_VALUE"""),0.4071579285714286)</f>
        <v>0.4071579286</v>
      </c>
      <c r="G925" s="20"/>
      <c r="H925" s="23"/>
      <c r="J925" s="22"/>
    </row>
    <row r="926">
      <c r="A926" s="24">
        <f>IFERROR(__xludf.DUMMYFUNCTION("""COMPUTED_VALUE"""),45486.0)</f>
        <v>45486</v>
      </c>
      <c r="B926" s="20">
        <f>IFERROR(__xludf.DUMMYFUNCTION("""COMPUTED_VALUE"""),0.502478947368421)</f>
        <v>0.5024789474</v>
      </c>
      <c r="C926" s="21">
        <f>IFERROR(__xludf.DUMMYFUNCTION("""COMPUTED_VALUE"""),0.4275)</f>
        <v>0.4275</v>
      </c>
      <c r="D926" s="25">
        <f>IFERROR(__xludf.DUMMYFUNCTION("""COMPUTED_VALUE"""),0.625)</f>
        <v>0.625</v>
      </c>
      <c r="E926" s="20">
        <f>IFERROR(__xludf.DUMMYFUNCTION("""COMPUTED_VALUE"""),0.36861499999999997)</f>
        <v>0.368615</v>
      </c>
      <c r="F926" s="20">
        <f>IFERROR(__xludf.DUMMYFUNCTION("""COMPUTED_VALUE"""),0.40582310357142853)</f>
        <v>0.4058231036</v>
      </c>
      <c r="G926" s="20"/>
      <c r="H926" s="23"/>
      <c r="J926" s="22"/>
    </row>
    <row r="927">
      <c r="A927" s="24">
        <f>IFERROR(__xludf.DUMMYFUNCTION("""COMPUTED_VALUE"""),45487.0)</f>
        <v>45487</v>
      </c>
      <c r="B927" s="20">
        <f>IFERROR(__xludf.DUMMYFUNCTION("""COMPUTED_VALUE"""),0.502478947368421)</f>
        <v>0.5024789474</v>
      </c>
      <c r="C927" s="21">
        <f>IFERROR(__xludf.DUMMYFUNCTION("""COMPUTED_VALUE"""),0.4275)</f>
        <v>0.4275</v>
      </c>
      <c r="D927" s="25">
        <f>IFERROR(__xludf.DUMMYFUNCTION("""COMPUTED_VALUE"""),0.625)</f>
        <v>0.625</v>
      </c>
      <c r="E927" s="20">
        <f>IFERROR(__xludf.DUMMYFUNCTION("""COMPUTED_VALUE"""),0.36892071428571427)</f>
        <v>0.3689207143</v>
      </c>
      <c r="F927" s="20">
        <f>IFERROR(__xludf.DUMMYFUNCTION("""COMPUTED_VALUE"""),0.4044882785714285)</f>
        <v>0.4044882786</v>
      </c>
      <c r="G927" s="20"/>
      <c r="H927" s="23"/>
      <c r="J927" s="22"/>
    </row>
    <row r="928">
      <c r="A928" s="24">
        <f>IFERROR(__xludf.DUMMYFUNCTION("""COMPUTED_VALUE"""),45488.0)</f>
        <v>45488</v>
      </c>
      <c r="B928" s="20">
        <f>IFERROR(__xludf.DUMMYFUNCTION("""COMPUTED_VALUE"""),0.5117315789473684)</f>
        <v>0.5117315789</v>
      </c>
      <c r="C928" s="21">
        <f>IFERROR(__xludf.DUMMYFUNCTION("""COMPUTED_VALUE"""),0.4275)</f>
        <v>0.4275</v>
      </c>
      <c r="D928" s="25">
        <f>IFERROR(__xludf.DUMMYFUNCTION("""COMPUTED_VALUE"""),0.6495)</f>
        <v>0.6495</v>
      </c>
      <c r="E928" s="20">
        <f>IFERROR(__xludf.DUMMYFUNCTION("""COMPUTED_VALUE"""),0.36693357142857136)</f>
        <v>0.3669335714</v>
      </c>
      <c r="F928" s="20">
        <f>IFERROR(__xludf.DUMMYFUNCTION("""COMPUTED_VALUE"""),0.40318669999999995)</f>
        <v>0.4031867</v>
      </c>
      <c r="G928" s="20"/>
      <c r="H928" s="23"/>
      <c r="J928" s="22"/>
    </row>
    <row r="929">
      <c r="A929" s="24">
        <f>IFERROR(__xludf.DUMMYFUNCTION("""COMPUTED_VALUE"""),45489.0)</f>
        <v>45489</v>
      </c>
      <c r="B929" s="20">
        <f>IFERROR(__xludf.DUMMYFUNCTION("""COMPUTED_VALUE"""),0.5117315789473684)</f>
        <v>0.5117315789</v>
      </c>
      <c r="C929" s="21">
        <f>IFERROR(__xludf.DUMMYFUNCTION("""COMPUTED_VALUE"""),0.4275)</f>
        <v>0.4275</v>
      </c>
      <c r="D929" s="25">
        <f>IFERROR(__xludf.DUMMYFUNCTION("""COMPUTED_VALUE"""),0.6495)</f>
        <v>0.6495</v>
      </c>
      <c r="E929" s="20">
        <f>IFERROR(__xludf.DUMMYFUNCTION("""COMPUTED_VALUE"""),0.3663221428571428)</f>
        <v>0.3663221429</v>
      </c>
      <c r="F929" s="20">
        <f>IFERROR(__xludf.DUMMYFUNCTION("""COMPUTED_VALUE"""),0.4048688928571428)</f>
        <v>0.4048688929</v>
      </c>
      <c r="G929" s="20"/>
      <c r="H929" s="23"/>
      <c r="J929" s="22"/>
    </row>
    <row r="930">
      <c r="A930" s="24">
        <f>IFERROR(__xludf.DUMMYFUNCTION("""COMPUTED_VALUE"""),45490.0)</f>
        <v>45490</v>
      </c>
      <c r="B930" s="20">
        <f>IFERROR(__xludf.DUMMYFUNCTION("""COMPUTED_VALUE"""),0.5117315789473684)</f>
        <v>0.5117315789</v>
      </c>
      <c r="C930" s="21">
        <f>IFERROR(__xludf.DUMMYFUNCTION("""COMPUTED_VALUE"""),0.4275)</f>
        <v>0.4275</v>
      </c>
      <c r="D930" s="25">
        <f>IFERROR(__xludf.DUMMYFUNCTION("""COMPUTED_VALUE"""),0.6495)</f>
        <v>0.6495</v>
      </c>
      <c r="E930" s="20">
        <f>IFERROR(__xludf.DUMMYFUNCTION("""COMPUTED_VALUE"""),0.3700671428571428)</f>
        <v>0.3700671429</v>
      </c>
      <c r="F930" s="20">
        <f>IFERROR(__xludf.DUMMYFUNCTION("""COMPUTED_VALUE"""),0.4058509999999999)</f>
        <v>0.405851</v>
      </c>
      <c r="G930" s="20"/>
      <c r="H930" s="23"/>
      <c r="J930" s="22"/>
    </row>
    <row r="931">
      <c r="A931" s="24">
        <f>IFERROR(__xludf.DUMMYFUNCTION("""COMPUTED_VALUE"""),45491.0)</f>
        <v>45491</v>
      </c>
      <c r="B931" s="20">
        <f>IFERROR(__xludf.DUMMYFUNCTION("""COMPUTED_VALUE"""),0.5117315789473684)</f>
        <v>0.5117315789</v>
      </c>
      <c r="C931" s="21">
        <f>IFERROR(__xludf.DUMMYFUNCTION("""COMPUTED_VALUE"""),0.4275)</f>
        <v>0.4275</v>
      </c>
      <c r="D931" s="25">
        <f>IFERROR(__xludf.DUMMYFUNCTION("""COMPUTED_VALUE"""),0.6495)</f>
        <v>0.6495</v>
      </c>
      <c r="E931" s="20">
        <f>IFERROR(__xludf.DUMMYFUNCTION("""COMPUTED_VALUE"""),0.37258928571428573)</f>
        <v>0.3725892857</v>
      </c>
      <c r="F931" s="20">
        <f>IFERROR(__xludf.DUMMYFUNCTION("""COMPUTED_VALUE"""),0.40691870714285716)</f>
        <v>0.4069187071</v>
      </c>
      <c r="G931" s="20"/>
      <c r="H931" s="23"/>
      <c r="J931" s="22"/>
    </row>
    <row r="932">
      <c r="A932" s="24">
        <f>IFERROR(__xludf.DUMMYFUNCTION("""COMPUTED_VALUE"""),45492.0)</f>
        <v>45492</v>
      </c>
      <c r="B932" s="20">
        <f>IFERROR(__xludf.DUMMYFUNCTION("""COMPUTED_VALUE"""),0.5117315789473684)</f>
        <v>0.5117315789</v>
      </c>
      <c r="C932" s="21">
        <f>IFERROR(__xludf.DUMMYFUNCTION("""COMPUTED_VALUE"""),0.4275)</f>
        <v>0.4275</v>
      </c>
      <c r="D932" s="25">
        <f>IFERROR(__xludf.DUMMYFUNCTION("""COMPUTED_VALUE"""),0.6495)</f>
        <v>0.6495</v>
      </c>
      <c r="E932" s="20">
        <f>IFERROR(__xludf.DUMMYFUNCTION("""COMPUTED_VALUE"""),0.37511142857142854)</f>
        <v>0.3751114286</v>
      </c>
      <c r="F932" s="20">
        <f>IFERROR(__xludf.DUMMYFUNCTION("""COMPUTED_VALUE"""),0.4066286607142856)</f>
        <v>0.4066286607</v>
      </c>
      <c r="G932" s="20"/>
      <c r="H932" s="23"/>
      <c r="J932" s="22"/>
    </row>
    <row r="933">
      <c r="A933" s="24">
        <f>IFERROR(__xludf.DUMMYFUNCTION("""COMPUTED_VALUE"""),45493.0)</f>
        <v>45493</v>
      </c>
      <c r="B933" s="20">
        <f>IFERROR(__xludf.DUMMYFUNCTION("""COMPUTED_VALUE"""),0.5117315789473684)</f>
        <v>0.5117315789</v>
      </c>
      <c r="C933" s="21">
        <f>IFERROR(__xludf.DUMMYFUNCTION("""COMPUTED_VALUE"""),0.4275)</f>
        <v>0.4275</v>
      </c>
      <c r="D933" s="25">
        <f>IFERROR(__xludf.DUMMYFUNCTION("""COMPUTED_VALUE"""),0.6495)</f>
        <v>0.6495</v>
      </c>
      <c r="E933" s="20">
        <f>IFERROR(__xludf.DUMMYFUNCTION("""COMPUTED_VALUE"""),0.37595214285714285)</f>
        <v>0.3759521429</v>
      </c>
      <c r="F933" s="20">
        <f>IFERROR(__xludf.DUMMYFUNCTION("""COMPUTED_VALUE"""),0.4063386142857142)</f>
        <v>0.4063386143</v>
      </c>
      <c r="G933" s="20"/>
      <c r="H933" s="23"/>
      <c r="J933" s="22"/>
    </row>
    <row r="934">
      <c r="A934" s="24">
        <f>IFERROR(__xludf.DUMMYFUNCTION("""COMPUTED_VALUE"""),45494.0)</f>
        <v>45494</v>
      </c>
      <c r="B934" s="20">
        <f>IFERROR(__xludf.DUMMYFUNCTION("""COMPUTED_VALUE"""),0.5117315789473684)</f>
        <v>0.5117315789</v>
      </c>
      <c r="C934" s="21">
        <f>IFERROR(__xludf.DUMMYFUNCTION("""COMPUTED_VALUE"""),0.4275)</f>
        <v>0.4275</v>
      </c>
      <c r="D934" s="25">
        <f>IFERROR(__xludf.DUMMYFUNCTION("""COMPUTED_VALUE"""),0.6495)</f>
        <v>0.6495</v>
      </c>
      <c r="E934" s="20">
        <f>IFERROR(__xludf.DUMMYFUNCTION("""COMPUTED_VALUE"""),0.37679285714285715)</f>
        <v>0.3767928571</v>
      </c>
      <c r="F934" s="20">
        <f>IFERROR(__xludf.DUMMYFUNCTION("""COMPUTED_VALUE"""),0.4060485678571427)</f>
        <v>0.4060485679</v>
      </c>
      <c r="G934" s="20"/>
      <c r="H934" s="23"/>
      <c r="J934" s="22"/>
    </row>
    <row r="935">
      <c r="A935" s="24">
        <f>IFERROR(__xludf.DUMMYFUNCTION("""COMPUTED_VALUE"""),45495.0)</f>
        <v>45495</v>
      </c>
      <c r="B935" s="20">
        <f>IFERROR(__xludf.DUMMYFUNCTION("""COMPUTED_VALUE"""),0.5117315789473684)</f>
        <v>0.5117315789</v>
      </c>
      <c r="C935" s="21">
        <f>IFERROR(__xludf.DUMMYFUNCTION("""COMPUTED_VALUE"""),0.4275)</f>
        <v>0.4275</v>
      </c>
      <c r="D935" s="25">
        <f>IFERROR(__xludf.DUMMYFUNCTION("""COMPUTED_VALUE"""),0.6495)</f>
        <v>0.6495</v>
      </c>
      <c r="E935" s="20">
        <f>IFERROR(__xludf.DUMMYFUNCTION("""COMPUTED_VALUE"""),0.3772514285714286)</f>
        <v>0.3772514286</v>
      </c>
      <c r="F935" s="20">
        <f>IFERROR(__xludf.DUMMYFUNCTION("""COMPUTED_VALUE"""),0.4059258999999999)</f>
        <v>0.4059259</v>
      </c>
      <c r="G935" s="20"/>
      <c r="H935" s="23"/>
      <c r="J935" s="22"/>
    </row>
    <row r="936">
      <c r="A936" s="24">
        <f>IFERROR(__xludf.DUMMYFUNCTION("""COMPUTED_VALUE"""),45496.0)</f>
        <v>45496</v>
      </c>
      <c r="B936" s="20">
        <f>IFERROR(__xludf.DUMMYFUNCTION("""COMPUTED_VALUE"""),0.5117315789473684)</f>
        <v>0.5117315789</v>
      </c>
      <c r="C936" s="21">
        <f>IFERROR(__xludf.DUMMYFUNCTION("""COMPUTED_VALUE"""),0.4275)</f>
        <v>0.4275</v>
      </c>
      <c r="D936" s="25">
        <f>IFERROR(__xludf.DUMMYFUNCTION("""COMPUTED_VALUE"""),0.6495)</f>
        <v>0.6495</v>
      </c>
      <c r="E936" s="20">
        <f>IFERROR(__xludf.DUMMYFUNCTION("""COMPUTED_VALUE"""),0.37824500000000005)</f>
        <v>0.378245</v>
      </c>
      <c r="F936" s="20">
        <f>IFERROR(__xludf.DUMMYFUNCTION("""COMPUTED_VALUE"""),0.4042322428571428)</f>
        <v>0.4042322429</v>
      </c>
      <c r="G936" s="20"/>
      <c r="H936" s="23"/>
      <c r="J936" s="22"/>
    </row>
    <row r="937">
      <c r="A937" s="24">
        <f>IFERROR(__xludf.DUMMYFUNCTION("""COMPUTED_VALUE"""),45497.0)</f>
        <v>45497</v>
      </c>
      <c r="B937" s="20">
        <f>IFERROR(__xludf.DUMMYFUNCTION("""COMPUTED_VALUE"""),0.5117315789473684)</f>
        <v>0.5117315789</v>
      </c>
      <c r="C937" s="21">
        <f>IFERROR(__xludf.DUMMYFUNCTION("""COMPUTED_VALUE"""),0.4275)</f>
        <v>0.4275</v>
      </c>
      <c r="D937" s="25">
        <f>IFERROR(__xludf.DUMMYFUNCTION("""COMPUTED_VALUE"""),0.6495)</f>
        <v>0.6495</v>
      </c>
      <c r="E937" s="20">
        <f>IFERROR(__xludf.DUMMYFUNCTION("""COMPUTED_VALUE"""),0.3763342857142857)</f>
        <v>0.3763342857</v>
      </c>
      <c r="F937" s="20">
        <f>IFERROR(__xludf.DUMMYFUNCTION("""COMPUTED_VALUE"""),0.40510964285714274)</f>
        <v>0.4051096429</v>
      </c>
      <c r="G937" s="20"/>
      <c r="H937" s="23"/>
      <c r="J937" s="22"/>
    </row>
    <row r="938">
      <c r="A938" s="24">
        <f>IFERROR(__xludf.DUMMYFUNCTION("""COMPUTED_VALUE"""),45498.0)</f>
        <v>45498</v>
      </c>
      <c r="B938" s="20">
        <f>IFERROR(__xludf.DUMMYFUNCTION("""COMPUTED_VALUE"""),0.5117315789473684)</f>
        <v>0.5117315789</v>
      </c>
      <c r="C938" s="21">
        <f>IFERROR(__xludf.DUMMYFUNCTION("""COMPUTED_VALUE"""),0.4275)</f>
        <v>0.4275</v>
      </c>
      <c r="D938" s="25">
        <f>IFERROR(__xludf.DUMMYFUNCTION("""COMPUTED_VALUE"""),0.6495)</f>
        <v>0.6495</v>
      </c>
      <c r="E938" s="20">
        <f>IFERROR(__xludf.DUMMYFUNCTION("""COMPUTED_VALUE"""),0.3764107142857142)</f>
        <v>0.3764107143</v>
      </c>
      <c r="F938" s="20">
        <f>IFERROR(__xludf.DUMMYFUNCTION("""COMPUTED_VALUE"""),0.4051272214285713)</f>
        <v>0.4051272214</v>
      </c>
      <c r="G938" s="20"/>
      <c r="H938" s="23"/>
      <c r="J938" s="22"/>
    </row>
    <row r="939">
      <c r="A939" s="24">
        <f>IFERROR(__xludf.DUMMYFUNCTION("""COMPUTED_VALUE"""),45499.0)</f>
        <v>45499</v>
      </c>
      <c r="B939" s="20">
        <f>IFERROR(__xludf.DUMMYFUNCTION("""COMPUTED_VALUE"""),0.5117315789473684)</f>
        <v>0.5117315789</v>
      </c>
      <c r="C939" s="21">
        <f>IFERROR(__xludf.DUMMYFUNCTION("""COMPUTED_VALUE"""),0.4275)</f>
        <v>0.4275</v>
      </c>
      <c r="D939" s="25">
        <f>IFERROR(__xludf.DUMMYFUNCTION("""COMPUTED_VALUE"""),0.6495)</f>
        <v>0.6495</v>
      </c>
      <c r="E939" s="20">
        <f>IFERROR(__xludf.DUMMYFUNCTION("""COMPUTED_VALUE"""),0.3748821428571429)</f>
        <v>0.3748821429</v>
      </c>
      <c r="F939" s="20">
        <f>IFERROR(__xludf.DUMMYFUNCTION("""COMPUTED_VALUE"""),0.40588004285714285)</f>
        <v>0.4058800429</v>
      </c>
      <c r="G939" s="20"/>
      <c r="H939" s="23"/>
      <c r="J939" s="22"/>
    </row>
    <row r="940">
      <c r="A940" s="24">
        <f>IFERROR(__xludf.DUMMYFUNCTION("""COMPUTED_VALUE"""),45500.0)</f>
        <v>45500</v>
      </c>
      <c r="B940" s="20">
        <f>IFERROR(__xludf.DUMMYFUNCTION("""COMPUTED_VALUE"""),0.5117315789473684)</f>
        <v>0.5117315789</v>
      </c>
      <c r="C940" s="21">
        <f>IFERROR(__xludf.DUMMYFUNCTION("""COMPUTED_VALUE"""),0.4275)</f>
        <v>0.4275</v>
      </c>
      <c r="D940" s="25">
        <f>IFERROR(__xludf.DUMMYFUNCTION("""COMPUTED_VALUE"""),0.6495)</f>
        <v>0.6495</v>
      </c>
      <c r="E940" s="20">
        <f>IFERROR(__xludf.DUMMYFUNCTION("""COMPUTED_VALUE"""),0.37541714285714284)</f>
        <v>0.3754171429</v>
      </c>
      <c r="F940" s="20">
        <f>IFERROR(__xludf.DUMMYFUNCTION("""COMPUTED_VALUE"""),0.4066328642857142)</f>
        <v>0.4066328643</v>
      </c>
      <c r="G940" s="20"/>
      <c r="H940" s="23"/>
      <c r="J940" s="22"/>
    </row>
    <row r="941">
      <c r="A941" s="24">
        <f>IFERROR(__xludf.DUMMYFUNCTION("""COMPUTED_VALUE"""),45501.0)</f>
        <v>45501</v>
      </c>
      <c r="B941" s="20">
        <f>IFERROR(__xludf.DUMMYFUNCTION("""COMPUTED_VALUE"""),0.5117315789473684)</f>
        <v>0.5117315789</v>
      </c>
      <c r="C941" s="21">
        <f>IFERROR(__xludf.DUMMYFUNCTION("""COMPUTED_VALUE"""),0.4275)</f>
        <v>0.4275</v>
      </c>
      <c r="D941" s="25">
        <f>IFERROR(__xludf.DUMMYFUNCTION("""COMPUTED_VALUE"""),0.6495)</f>
        <v>0.6495</v>
      </c>
      <c r="E941" s="20">
        <f>IFERROR(__xludf.DUMMYFUNCTION("""COMPUTED_VALUE"""),0.37595214285714285)</f>
        <v>0.3759521429</v>
      </c>
      <c r="F941" s="20">
        <f>IFERROR(__xludf.DUMMYFUNCTION("""COMPUTED_VALUE"""),0.4073856857142856)</f>
        <v>0.4073856857</v>
      </c>
      <c r="G941" s="20"/>
      <c r="H941" s="23"/>
      <c r="J941" s="22"/>
    </row>
    <row r="942">
      <c r="A942" s="24">
        <f>IFERROR(__xludf.DUMMYFUNCTION("""COMPUTED_VALUE"""),45502.0)</f>
        <v>45502</v>
      </c>
      <c r="B942" s="20">
        <f>IFERROR(__xludf.DUMMYFUNCTION("""COMPUTED_VALUE"""),0.5117315789473684)</f>
        <v>0.5117315789</v>
      </c>
      <c r="C942" s="21">
        <f>IFERROR(__xludf.DUMMYFUNCTION("""COMPUTED_VALUE"""),0.4275)</f>
        <v>0.4275</v>
      </c>
      <c r="D942" s="25">
        <f>IFERROR(__xludf.DUMMYFUNCTION("""COMPUTED_VALUE"""),0.6495)</f>
        <v>0.6495</v>
      </c>
      <c r="E942" s="20">
        <f>IFERROR(__xludf.DUMMYFUNCTION("""COMPUTED_VALUE"""),0.37679285714285715)</f>
        <v>0.3767928571</v>
      </c>
      <c r="F942" s="20">
        <f>IFERROR(__xludf.DUMMYFUNCTION("""COMPUTED_VALUE"""),0.41000298214285713)</f>
        <v>0.4100029821</v>
      </c>
      <c r="G942" s="20"/>
      <c r="H942" s="23"/>
      <c r="J942" s="22"/>
    </row>
    <row r="943">
      <c r="A943" s="24">
        <f>IFERROR(__xludf.DUMMYFUNCTION("""COMPUTED_VALUE"""),45503.0)</f>
        <v>45503</v>
      </c>
      <c r="B943" s="20">
        <f>IFERROR(__xludf.DUMMYFUNCTION("""COMPUTED_VALUE"""),0.5117315789473684)</f>
        <v>0.5117315789</v>
      </c>
      <c r="C943" s="21">
        <f>IFERROR(__xludf.DUMMYFUNCTION("""COMPUTED_VALUE"""),0.4275)</f>
        <v>0.4275</v>
      </c>
      <c r="D943" s="25">
        <f>IFERROR(__xludf.DUMMYFUNCTION("""COMPUTED_VALUE"""),0.6495)</f>
        <v>0.6495</v>
      </c>
      <c r="E943" s="20">
        <f>IFERROR(__xludf.DUMMYFUNCTION("""COMPUTED_VALUE"""),0.379315)</f>
        <v>0.379315</v>
      </c>
      <c r="F943" s="20">
        <f>IFERROR(__xludf.DUMMYFUNCTION("""COMPUTED_VALUE"""),0.4133654571428571)</f>
        <v>0.4133654571</v>
      </c>
      <c r="G943" s="20"/>
      <c r="H943" s="23"/>
      <c r="J943" s="22"/>
    </row>
    <row r="944">
      <c r="A944" s="24">
        <f>IFERROR(__xludf.DUMMYFUNCTION("""COMPUTED_VALUE"""),45504.0)</f>
        <v>45504</v>
      </c>
      <c r="B944" s="20">
        <f>IFERROR(__xludf.DUMMYFUNCTION("""COMPUTED_VALUE"""),0.5117315789473684)</f>
        <v>0.5117315789</v>
      </c>
      <c r="C944" s="21">
        <f>IFERROR(__xludf.DUMMYFUNCTION("""COMPUTED_VALUE"""),0.4275)</f>
        <v>0.4275</v>
      </c>
      <c r="D944" s="25">
        <f>IFERROR(__xludf.DUMMYFUNCTION("""COMPUTED_VALUE"""),0.6495)</f>
        <v>0.6495</v>
      </c>
      <c r="E944" s="20">
        <f>IFERROR(__xludf.DUMMYFUNCTION("""COMPUTED_VALUE"""),0.38290714285714283)</f>
        <v>0.3829071429</v>
      </c>
      <c r="F944" s="20">
        <f>IFERROR(__xludf.DUMMYFUNCTION("""COMPUTED_VALUE"""),0.4162185357142857)</f>
        <v>0.4162185357</v>
      </c>
      <c r="G944" s="20"/>
      <c r="H944" s="23"/>
      <c r="J944" s="22"/>
    </row>
    <row r="945">
      <c r="A945" s="24">
        <f>IFERROR(__xludf.DUMMYFUNCTION("""COMPUTED_VALUE"""),45505.0)</f>
        <v>45505</v>
      </c>
      <c r="B945" s="20">
        <f>IFERROR(__xludf.DUMMYFUNCTION("""COMPUTED_VALUE"""),0.5117315789473684)</f>
        <v>0.5117315789</v>
      </c>
      <c r="C945" s="21">
        <f>IFERROR(__xludf.DUMMYFUNCTION("""COMPUTED_VALUE"""),0.4275)</f>
        <v>0.4275</v>
      </c>
      <c r="D945" s="25">
        <f>IFERROR(__xludf.DUMMYFUNCTION("""COMPUTED_VALUE"""),0.6495)</f>
        <v>0.6495</v>
      </c>
      <c r="E945" s="20">
        <f>IFERROR(__xludf.DUMMYFUNCTION("""COMPUTED_VALUE"""),0.38756928571428567)</f>
        <v>0.3875692857</v>
      </c>
      <c r="F945" s="20">
        <f>IFERROR(__xludf.DUMMYFUNCTION("""COMPUTED_VALUE"""),0.42068043571428565)</f>
        <v>0.4206804357</v>
      </c>
      <c r="G945" s="20"/>
      <c r="H945" s="23"/>
      <c r="J945" s="22"/>
    </row>
    <row r="946">
      <c r="A946" s="24">
        <f>IFERROR(__xludf.DUMMYFUNCTION("""COMPUTED_VALUE"""),45506.0)</f>
        <v>45506</v>
      </c>
      <c r="B946" s="20">
        <f>IFERROR(__xludf.DUMMYFUNCTION("""COMPUTED_VALUE"""),0.5117315789473684)</f>
        <v>0.5117315789</v>
      </c>
      <c r="C946" s="21">
        <f>IFERROR(__xludf.DUMMYFUNCTION("""COMPUTED_VALUE"""),0.4275)</f>
        <v>0.4275</v>
      </c>
      <c r="D946" s="25">
        <f>IFERROR(__xludf.DUMMYFUNCTION("""COMPUTED_VALUE"""),0.6495)</f>
        <v>0.6495</v>
      </c>
      <c r="E946" s="20">
        <f>IFERROR(__xludf.DUMMYFUNCTION("""COMPUTED_VALUE"""),0.3947535714285714)</f>
        <v>0.3947535714</v>
      </c>
      <c r="F946" s="20">
        <f>IFERROR(__xludf.DUMMYFUNCTION("""COMPUTED_VALUE"""),0.42537888214285713)</f>
        <v>0.4253788821</v>
      </c>
      <c r="G946" s="20"/>
      <c r="H946" s="23"/>
      <c r="J946" s="22"/>
    </row>
    <row r="947">
      <c r="A947" s="24">
        <f>IFERROR(__xludf.DUMMYFUNCTION("""COMPUTED_VALUE"""),45507.0)</f>
        <v>45507</v>
      </c>
      <c r="B947" s="20">
        <f>IFERROR(__xludf.DUMMYFUNCTION("""COMPUTED_VALUE"""),0.5117315789473684)</f>
        <v>0.5117315789</v>
      </c>
      <c r="C947" s="21">
        <f>IFERROR(__xludf.DUMMYFUNCTION("""COMPUTED_VALUE"""),0.4275)</f>
        <v>0.4275</v>
      </c>
      <c r="D947" s="25">
        <f>IFERROR(__xludf.DUMMYFUNCTION("""COMPUTED_VALUE"""),0.6495)</f>
        <v>0.6495</v>
      </c>
      <c r="E947" s="20">
        <f>IFERROR(__xludf.DUMMYFUNCTION("""COMPUTED_VALUE"""),0.399645)</f>
        <v>0.399645</v>
      </c>
      <c r="F947" s="20">
        <f>IFERROR(__xludf.DUMMYFUNCTION("""COMPUTED_VALUE"""),0.4300773285714285)</f>
        <v>0.4300773286</v>
      </c>
      <c r="G947" s="20"/>
      <c r="H947" s="23"/>
      <c r="J947" s="22"/>
    </row>
    <row r="948">
      <c r="A948" s="24">
        <f>IFERROR(__xludf.DUMMYFUNCTION("""COMPUTED_VALUE"""),45508.0)</f>
        <v>45508</v>
      </c>
      <c r="B948" s="20">
        <f>IFERROR(__xludf.DUMMYFUNCTION("""COMPUTED_VALUE"""),0.5117315789473684)</f>
        <v>0.5117315789</v>
      </c>
      <c r="C948" s="21">
        <f>IFERROR(__xludf.DUMMYFUNCTION("""COMPUTED_VALUE"""),0.4275)</f>
        <v>0.4275</v>
      </c>
      <c r="D948" s="25">
        <f>IFERROR(__xludf.DUMMYFUNCTION("""COMPUTED_VALUE"""),0.6495)</f>
        <v>0.6495</v>
      </c>
      <c r="E948" s="20">
        <f>IFERROR(__xludf.DUMMYFUNCTION("""COMPUTED_VALUE"""),0.4045364285714285)</f>
        <v>0.4045364286</v>
      </c>
      <c r="F948" s="20">
        <f>IFERROR(__xludf.DUMMYFUNCTION("""COMPUTED_VALUE"""),0.4347757749999999)</f>
        <v>0.434775775</v>
      </c>
      <c r="G948" s="20"/>
      <c r="H948" s="23"/>
      <c r="J948" s="22"/>
    </row>
    <row r="949">
      <c r="A949" s="24">
        <f>IFERROR(__xludf.DUMMYFUNCTION("""COMPUTED_VALUE"""),45509.0)</f>
        <v>45509</v>
      </c>
      <c r="B949" s="20">
        <f>IFERROR(__xludf.DUMMYFUNCTION("""COMPUTED_VALUE"""),0.5117315789473684)</f>
        <v>0.5117315789</v>
      </c>
      <c r="C949" s="21">
        <f>IFERROR(__xludf.DUMMYFUNCTION("""COMPUTED_VALUE"""),0.4275)</f>
        <v>0.4275</v>
      </c>
      <c r="D949" s="25">
        <f>IFERROR(__xludf.DUMMYFUNCTION("""COMPUTED_VALUE"""),0.6495)</f>
        <v>0.6495</v>
      </c>
      <c r="E949" s="20">
        <f>IFERROR(__xludf.DUMMYFUNCTION("""COMPUTED_VALUE"""),0.40958071428571424)</f>
        <v>0.4095807143</v>
      </c>
      <c r="F949" s="20">
        <f>IFERROR(__xludf.DUMMYFUNCTION("""COMPUTED_VALUE"""),0.4357097321428571)</f>
        <v>0.4357097321</v>
      </c>
      <c r="G949" s="20"/>
      <c r="H949" s="23"/>
      <c r="J949" s="22"/>
    </row>
    <row r="950">
      <c r="A950" s="24">
        <f>IFERROR(__xludf.DUMMYFUNCTION("""COMPUTED_VALUE"""),45510.0)</f>
        <v>45510</v>
      </c>
      <c r="B950" s="20">
        <f>IFERROR(__xludf.DUMMYFUNCTION("""COMPUTED_VALUE"""),0.5117315789473684)</f>
        <v>0.5117315789</v>
      </c>
      <c r="C950" s="21">
        <f>IFERROR(__xludf.DUMMYFUNCTION("""COMPUTED_VALUE"""),0.4275)</f>
        <v>0.4275</v>
      </c>
      <c r="D950" s="25">
        <f>IFERROR(__xludf.DUMMYFUNCTION("""COMPUTED_VALUE"""),0.6495)</f>
        <v>0.6495</v>
      </c>
      <c r="E950" s="20">
        <f>IFERROR(__xludf.DUMMYFUNCTION("""COMPUTED_VALUE"""),0.4112621428571428)</f>
        <v>0.4112621429</v>
      </c>
      <c r="F950" s="20">
        <f>IFERROR(__xludf.DUMMYFUNCTION("""COMPUTED_VALUE"""),0.4369910571428571)</f>
        <v>0.4369910571</v>
      </c>
      <c r="G950" s="20"/>
      <c r="H950" s="23"/>
      <c r="J950" s="22"/>
    </row>
    <row r="951">
      <c r="A951" s="24">
        <f>IFERROR(__xludf.DUMMYFUNCTION("""COMPUTED_VALUE"""),45511.0)</f>
        <v>45511</v>
      </c>
      <c r="B951" s="20">
        <f>IFERROR(__xludf.DUMMYFUNCTION("""COMPUTED_VALUE"""),0.5117315789473684)</f>
        <v>0.5117315789</v>
      </c>
      <c r="C951" s="21">
        <f>IFERROR(__xludf.DUMMYFUNCTION("""COMPUTED_VALUE"""),0.4275)</f>
        <v>0.4275</v>
      </c>
      <c r="D951" s="25">
        <f>IFERROR(__xludf.DUMMYFUNCTION("""COMPUTED_VALUE"""),0.6495)</f>
        <v>0.6495</v>
      </c>
      <c r="E951" s="20">
        <f>IFERROR(__xludf.DUMMYFUNCTION("""COMPUTED_VALUE"""),0.4148542857142857)</f>
        <v>0.4148542857</v>
      </c>
      <c r="F951" s="20">
        <f>IFERROR(__xludf.DUMMYFUNCTION("""COMPUTED_VALUE"""),0.43969242499999994)</f>
        <v>0.439692425</v>
      </c>
      <c r="G951" s="20"/>
      <c r="H951" s="23"/>
      <c r="J951" s="22"/>
    </row>
    <row r="952">
      <c r="A952" s="24">
        <f>IFERROR(__xludf.DUMMYFUNCTION("""COMPUTED_VALUE"""),45512.0)</f>
        <v>45512</v>
      </c>
      <c r="B952" s="20">
        <f>IFERROR(__xludf.DUMMYFUNCTION("""COMPUTED_VALUE"""),0.5117315789473684)</f>
        <v>0.5117315789</v>
      </c>
      <c r="C952" s="21">
        <f>IFERROR(__xludf.DUMMYFUNCTION("""COMPUTED_VALUE"""),0.4275)</f>
        <v>0.4275</v>
      </c>
      <c r="D952" s="25">
        <f>IFERROR(__xludf.DUMMYFUNCTION("""COMPUTED_VALUE"""),0.6495)</f>
        <v>0.6495</v>
      </c>
      <c r="E952" s="20">
        <f>IFERROR(__xludf.DUMMYFUNCTION("""COMPUTED_VALUE"""),0.4177585714285713)</f>
        <v>0.4177585714</v>
      </c>
      <c r="F952" s="20">
        <f>IFERROR(__xludf.DUMMYFUNCTION("""COMPUTED_VALUE"""),0.4430648357142856)</f>
        <v>0.4430648357</v>
      </c>
      <c r="G952" s="20"/>
      <c r="H952" s="23"/>
      <c r="J952" s="22"/>
    </row>
    <row r="953">
      <c r="A953" s="24">
        <f>IFERROR(__xludf.DUMMYFUNCTION("""COMPUTED_VALUE"""),45513.0)</f>
        <v>45513</v>
      </c>
      <c r="B953" s="20">
        <f>IFERROR(__xludf.DUMMYFUNCTION("""COMPUTED_VALUE"""),0.5117315789473684)</f>
        <v>0.5117315789</v>
      </c>
      <c r="C953" s="21">
        <f>IFERROR(__xludf.DUMMYFUNCTION("""COMPUTED_VALUE"""),0.4275)</f>
        <v>0.4275</v>
      </c>
      <c r="D953" s="25">
        <f>IFERROR(__xludf.DUMMYFUNCTION("""COMPUTED_VALUE"""),0.6495)</f>
        <v>0.6495</v>
      </c>
      <c r="E953" s="20">
        <f>IFERROR(__xludf.DUMMYFUNCTION("""COMPUTED_VALUE"""),0.4221914285714286)</f>
        <v>0.4221914286</v>
      </c>
      <c r="F953" s="20">
        <f>IFERROR(__xludf.DUMMYFUNCTION("""COMPUTED_VALUE"""),0.44652705)</f>
        <v>0.44652705</v>
      </c>
      <c r="G953" s="20"/>
      <c r="H953" s="23"/>
      <c r="J953" s="22"/>
    </row>
    <row r="954">
      <c r="A954" s="24">
        <f>IFERROR(__xludf.DUMMYFUNCTION("""COMPUTED_VALUE"""),45514.0)</f>
        <v>45514</v>
      </c>
      <c r="B954" s="20">
        <f>IFERROR(__xludf.DUMMYFUNCTION("""COMPUTED_VALUE"""),0.5117315789473684)</f>
        <v>0.5117315789</v>
      </c>
      <c r="C954" s="21">
        <f>IFERROR(__xludf.DUMMYFUNCTION("""COMPUTED_VALUE"""),0.4275)</f>
        <v>0.4275</v>
      </c>
      <c r="D954" s="25">
        <f>IFERROR(__xludf.DUMMYFUNCTION("""COMPUTED_VALUE"""),0.6495)</f>
        <v>0.6495</v>
      </c>
      <c r="E954" s="20">
        <f>IFERROR(__xludf.DUMMYFUNCTION("""COMPUTED_VALUE"""),0.4286114285714286)</f>
        <v>0.4286114286</v>
      </c>
      <c r="F954" s="20">
        <f>IFERROR(__xludf.DUMMYFUNCTION("""COMPUTED_VALUE"""),0.4499892642857143)</f>
        <v>0.4499892643</v>
      </c>
      <c r="G954" s="20"/>
      <c r="H954" s="23"/>
      <c r="J954" s="22"/>
    </row>
    <row r="955">
      <c r="A955" s="24">
        <f>IFERROR(__xludf.DUMMYFUNCTION("""COMPUTED_VALUE"""),45515.0)</f>
        <v>45515</v>
      </c>
      <c r="B955" s="20">
        <f>IFERROR(__xludf.DUMMYFUNCTION("""COMPUTED_VALUE"""),0.5117315789473684)</f>
        <v>0.5117315789</v>
      </c>
      <c r="C955" s="21">
        <f>IFERROR(__xludf.DUMMYFUNCTION("""COMPUTED_VALUE"""),0.4275)</f>
        <v>0.4275</v>
      </c>
      <c r="D955" s="25">
        <f>IFERROR(__xludf.DUMMYFUNCTION("""COMPUTED_VALUE"""),0.6495)</f>
        <v>0.6495</v>
      </c>
      <c r="E955" s="20">
        <f>IFERROR(__xludf.DUMMYFUNCTION("""COMPUTED_VALUE"""),0.43503142857142857)</f>
        <v>0.4350314286</v>
      </c>
      <c r="F955" s="20">
        <f>IFERROR(__xludf.DUMMYFUNCTION("""COMPUTED_VALUE"""),0.45345147857142853)</f>
        <v>0.4534514786</v>
      </c>
      <c r="G955" s="20"/>
      <c r="H955" s="23"/>
      <c r="J955" s="22"/>
    </row>
    <row r="956">
      <c r="A956" s="24">
        <f>IFERROR(__xludf.DUMMYFUNCTION("""COMPUTED_VALUE"""),45516.0)</f>
        <v>45516</v>
      </c>
      <c r="B956" s="20">
        <f>IFERROR(__xludf.DUMMYFUNCTION("""COMPUTED_VALUE"""),0.5117315789473684)</f>
        <v>0.5117315789</v>
      </c>
      <c r="C956" s="21">
        <f>IFERROR(__xludf.DUMMYFUNCTION("""COMPUTED_VALUE"""),0.4275)</f>
        <v>0.4275</v>
      </c>
      <c r="D956" s="25">
        <f>IFERROR(__xludf.DUMMYFUNCTION("""COMPUTED_VALUE"""),0.6495)</f>
        <v>0.6495</v>
      </c>
      <c r="E956" s="20">
        <f>IFERROR(__xludf.DUMMYFUNCTION("""COMPUTED_VALUE"""),0.43992285714285717)</f>
        <v>0.4399228571</v>
      </c>
      <c r="F956" s="20">
        <f>IFERROR(__xludf.DUMMYFUNCTION("""COMPUTED_VALUE"""),0.4585882428571429)</f>
        <v>0.4585882429</v>
      </c>
      <c r="G956" s="20"/>
      <c r="H956" s="23"/>
      <c r="J956" s="22"/>
    </row>
    <row r="957">
      <c r="A957" s="24">
        <f>IFERROR(__xludf.DUMMYFUNCTION("""COMPUTED_VALUE"""),45517.0)</f>
        <v>45517</v>
      </c>
      <c r="B957" s="20">
        <f>IFERROR(__xludf.DUMMYFUNCTION("""COMPUTED_VALUE"""),0.5117315789473684)</f>
        <v>0.5117315789</v>
      </c>
      <c r="C957" s="21">
        <f>IFERROR(__xludf.DUMMYFUNCTION("""COMPUTED_VALUE"""),0.4275)</f>
        <v>0.4275</v>
      </c>
      <c r="D957" s="25">
        <f>IFERROR(__xludf.DUMMYFUNCTION("""COMPUTED_VALUE"""),0.6495)</f>
        <v>0.6495</v>
      </c>
      <c r="E957" s="20">
        <f>IFERROR(__xludf.DUMMYFUNCTION("""COMPUTED_VALUE"""),0.44756571428571423)</f>
        <v>0.4475657143</v>
      </c>
      <c r="F957" s="20">
        <f>IFERROR(__xludf.DUMMYFUNCTION("""COMPUTED_VALUE"""),0.4628529571428572)</f>
        <v>0.4628529571</v>
      </c>
      <c r="G957" s="20"/>
      <c r="H957" s="23"/>
      <c r="J957" s="22"/>
    </row>
    <row r="958">
      <c r="A958" s="24">
        <f>IFERROR(__xludf.DUMMYFUNCTION("""COMPUTED_VALUE"""),45518.0)</f>
        <v>45518</v>
      </c>
      <c r="B958" s="20">
        <f>IFERROR(__xludf.DUMMYFUNCTION("""COMPUTED_VALUE"""),0.5117315789473684)</f>
        <v>0.5117315789</v>
      </c>
      <c r="C958" s="21">
        <f>IFERROR(__xludf.DUMMYFUNCTION("""COMPUTED_VALUE"""),0.4275)</f>
        <v>0.4275</v>
      </c>
      <c r="D958" s="25">
        <f>IFERROR(__xludf.DUMMYFUNCTION("""COMPUTED_VALUE"""),0.6495)</f>
        <v>0.6495</v>
      </c>
      <c r="E958" s="20">
        <f>IFERROR(__xludf.DUMMYFUNCTION("""COMPUTED_VALUE"""),0.45024071428571427)</f>
        <v>0.4502407143</v>
      </c>
      <c r="F958" s="20">
        <f>IFERROR(__xludf.DUMMYFUNCTION("""COMPUTED_VALUE"""),0.46466316785714284)</f>
        <v>0.4646631679</v>
      </c>
      <c r="G958" s="20"/>
      <c r="H958" s="23"/>
      <c r="J958" s="22"/>
    </row>
    <row r="959">
      <c r="A959" s="24">
        <f>IFERROR(__xludf.DUMMYFUNCTION("""COMPUTED_VALUE"""),45519.0)</f>
        <v>45519</v>
      </c>
      <c r="B959" s="20">
        <f>IFERROR(__xludf.DUMMYFUNCTION("""COMPUTED_VALUE"""),0.5117315789473684)</f>
        <v>0.5117315789</v>
      </c>
      <c r="C959" s="21">
        <f>IFERROR(__xludf.DUMMYFUNCTION("""COMPUTED_VALUE"""),0.4275)</f>
        <v>0.4275</v>
      </c>
      <c r="D959" s="25">
        <f>IFERROR(__xludf.DUMMYFUNCTION("""COMPUTED_VALUE"""),0.6495)</f>
        <v>0.6495</v>
      </c>
      <c r="E959" s="20">
        <f>IFERROR(__xludf.DUMMYFUNCTION("""COMPUTED_VALUE"""),0.4502407142857142)</f>
        <v>0.4502407143</v>
      </c>
      <c r="F959" s="20">
        <f>IFERROR(__xludf.DUMMYFUNCTION("""COMPUTED_VALUE"""),0.4654209571428572)</f>
        <v>0.4654209571</v>
      </c>
      <c r="G959" s="20"/>
      <c r="H959" s="23"/>
      <c r="J959" s="22"/>
    </row>
    <row r="960">
      <c r="A960" s="24">
        <f>IFERROR(__xludf.DUMMYFUNCTION("""COMPUTED_VALUE"""),45520.0)</f>
        <v>45520</v>
      </c>
      <c r="B960" s="20">
        <f>IFERROR(__xludf.DUMMYFUNCTION("""COMPUTED_VALUE"""),0.5117315789473684)</f>
        <v>0.5117315789</v>
      </c>
      <c r="C960" s="21">
        <f>IFERROR(__xludf.DUMMYFUNCTION("""COMPUTED_VALUE"""),0.4275)</f>
        <v>0.4275</v>
      </c>
      <c r="D960" s="25">
        <f>IFERROR(__xludf.DUMMYFUNCTION("""COMPUTED_VALUE"""),0.6495)</f>
        <v>0.6495</v>
      </c>
      <c r="E960" s="20">
        <f>IFERROR(__xludf.DUMMYFUNCTION("""COMPUTED_VALUE"""),0.4481771428571429)</f>
        <v>0.4481771429</v>
      </c>
      <c r="F960" s="20">
        <f>IFERROR(__xludf.DUMMYFUNCTION("""COMPUTED_VALUE"""),0.46584742857142863)</f>
        <v>0.4658474286</v>
      </c>
      <c r="G960" s="20"/>
      <c r="H960" s="23"/>
      <c r="J960" s="22"/>
    </row>
    <row r="961">
      <c r="A961" s="24">
        <f>IFERROR(__xludf.DUMMYFUNCTION("""COMPUTED_VALUE"""),45521.0)</f>
        <v>45521</v>
      </c>
      <c r="B961" s="20">
        <f>IFERROR(__xludf.DUMMYFUNCTION("""COMPUTED_VALUE"""),0.5117315789473684)</f>
        <v>0.5117315789</v>
      </c>
      <c r="C961" s="21">
        <f>IFERROR(__xludf.DUMMYFUNCTION("""COMPUTED_VALUE"""),0.4275)</f>
        <v>0.4275</v>
      </c>
      <c r="D961" s="25">
        <f>IFERROR(__xludf.DUMMYFUNCTION("""COMPUTED_VALUE"""),0.6495)</f>
        <v>0.6495</v>
      </c>
      <c r="E961" s="20">
        <f>IFERROR(__xludf.DUMMYFUNCTION("""COMPUTED_VALUE"""),0.44412642857142853)</f>
        <v>0.4441264286</v>
      </c>
      <c r="F961" s="20">
        <f>IFERROR(__xludf.DUMMYFUNCTION("""COMPUTED_VALUE"""),0.4662739)</f>
        <v>0.4662739</v>
      </c>
      <c r="G961" s="20"/>
      <c r="H961" s="23"/>
      <c r="J961" s="22"/>
    </row>
    <row r="962">
      <c r="A962" s="24">
        <f>IFERROR(__xludf.DUMMYFUNCTION("""COMPUTED_VALUE"""),45522.0)</f>
        <v>45522</v>
      </c>
      <c r="B962" s="20">
        <f>IFERROR(__xludf.DUMMYFUNCTION("""COMPUTED_VALUE"""),0.5117315789473684)</f>
        <v>0.5117315789</v>
      </c>
      <c r="C962" s="21">
        <f>IFERROR(__xludf.DUMMYFUNCTION("""COMPUTED_VALUE"""),0.4275)</f>
        <v>0.4275</v>
      </c>
      <c r="D962" s="25">
        <f>IFERROR(__xludf.DUMMYFUNCTION("""COMPUTED_VALUE"""),0.6495)</f>
        <v>0.6495</v>
      </c>
      <c r="E962" s="20">
        <f>IFERROR(__xludf.DUMMYFUNCTION("""COMPUTED_VALUE"""),0.44007571428571435)</f>
        <v>0.4400757143</v>
      </c>
      <c r="F962" s="20">
        <f>IFERROR(__xludf.DUMMYFUNCTION("""COMPUTED_VALUE"""),0.46670037142857146)</f>
        <v>0.4667003714</v>
      </c>
      <c r="G962" s="20"/>
      <c r="H962" s="23"/>
      <c r="J962" s="22"/>
    </row>
    <row r="963">
      <c r="A963" s="24">
        <f>IFERROR(__xludf.DUMMYFUNCTION("""COMPUTED_VALUE"""),45523.0)</f>
        <v>45523</v>
      </c>
      <c r="B963" s="20">
        <f>IFERROR(__xludf.DUMMYFUNCTION("""COMPUTED_VALUE"""),0.5117315789473684)</f>
        <v>0.5117315789</v>
      </c>
      <c r="C963" s="21">
        <f>IFERROR(__xludf.DUMMYFUNCTION("""COMPUTED_VALUE"""),0.4275)</f>
        <v>0.4275</v>
      </c>
      <c r="D963" s="25">
        <f>IFERROR(__xludf.DUMMYFUNCTION("""COMPUTED_VALUE"""),0.6495)</f>
        <v>0.6495</v>
      </c>
      <c r="E963" s="20">
        <f>IFERROR(__xludf.DUMMYFUNCTION("""COMPUTED_VALUE"""),0.43847071428571427)</f>
        <v>0.4384707143</v>
      </c>
      <c r="F963" s="20">
        <f>IFERROR(__xludf.DUMMYFUNCTION("""COMPUTED_VALUE"""),0.46745510357142855)</f>
        <v>0.4674551036</v>
      </c>
      <c r="G963" s="20"/>
      <c r="H963" s="23"/>
      <c r="J963" s="22"/>
    </row>
    <row r="964">
      <c r="A964" s="24">
        <f>IFERROR(__xludf.DUMMYFUNCTION("""COMPUTED_VALUE"""),45524.0)</f>
        <v>45524</v>
      </c>
      <c r="B964" s="20">
        <f>IFERROR(__xludf.DUMMYFUNCTION("""COMPUTED_VALUE"""),0.5117315789473684)</f>
        <v>0.5117315789</v>
      </c>
      <c r="C964" s="21">
        <f>IFERROR(__xludf.DUMMYFUNCTION("""COMPUTED_VALUE"""),0.4275)</f>
        <v>0.4275</v>
      </c>
      <c r="D964" s="25">
        <f>IFERROR(__xludf.DUMMYFUNCTION("""COMPUTED_VALUE"""),0.6495)</f>
        <v>0.6495</v>
      </c>
      <c r="E964" s="20">
        <f>IFERROR(__xludf.DUMMYFUNCTION("""COMPUTED_VALUE"""),0.436025)</f>
        <v>0.436025</v>
      </c>
      <c r="F964" s="20">
        <f>IFERROR(__xludf.DUMMYFUNCTION("""COMPUTED_VALUE"""),0.46552069642857136)</f>
        <v>0.4655206964</v>
      </c>
      <c r="G964" s="20"/>
      <c r="H964" s="23"/>
      <c r="J964" s="22"/>
    </row>
    <row r="965">
      <c r="A965" s="24">
        <f>IFERROR(__xludf.DUMMYFUNCTION("""COMPUTED_VALUE"""),45525.0)</f>
        <v>45525</v>
      </c>
      <c r="B965" s="20">
        <f>IFERROR(__xludf.DUMMYFUNCTION("""COMPUTED_VALUE"""),0.5117315789473684)</f>
        <v>0.5117315789</v>
      </c>
      <c r="C965" s="21">
        <f>IFERROR(__xludf.DUMMYFUNCTION("""COMPUTED_VALUE"""),0.4275)</f>
        <v>0.4275</v>
      </c>
      <c r="D965" s="25">
        <f>IFERROR(__xludf.DUMMYFUNCTION("""COMPUTED_VALUE"""),0.6495)</f>
        <v>0.6495</v>
      </c>
      <c r="E965" s="20">
        <f>IFERROR(__xludf.DUMMYFUNCTION("""COMPUTED_VALUE"""),0.43464928571428574)</f>
        <v>0.4346492857</v>
      </c>
      <c r="F965" s="20">
        <f>IFERROR(__xludf.DUMMYFUNCTION("""COMPUTED_VALUE"""),0.46256252857142854)</f>
        <v>0.4625625286</v>
      </c>
      <c r="G965" s="20"/>
      <c r="H965" s="23"/>
      <c r="J965" s="22"/>
    </row>
    <row r="966">
      <c r="A966" s="24">
        <f>IFERROR(__xludf.DUMMYFUNCTION("""COMPUTED_VALUE"""),45526.0)</f>
        <v>45526</v>
      </c>
      <c r="B966" s="20">
        <f>IFERROR(__xludf.DUMMYFUNCTION("""COMPUTED_VALUE"""),0.5117315789473684)</f>
        <v>0.5117315789</v>
      </c>
      <c r="C966" s="21">
        <f>IFERROR(__xludf.DUMMYFUNCTION("""COMPUTED_VALUE"""),0.4275)</f>
        <v>0.4275</v>
      </c>
      <c r="D966" s="25">
        <f>IFERROR(__xludf.DUMMYFUNCTION("""COMPUTED_VALUE"""),0.6495)</f>
        <v>0.6495</v>
      </c>
      <c r="E966" s="20">
        <f>IFERROR(__xludf.DUMMYFUNCTION("""COMPUTED_VALUE"""),0.4322035714285714)</f>
        <v>0.4322035714</v>
      </c>
      <c r="F966" s="20">
        <f>IFERROR(__xludf.DUMMYFUNCTION("""COMPUTED_VALUE"""),0.4581526)</f>
        <v>0.4581526</v>
      </c>
      <c r="G966" s="20"/>
      <c r="H966" s="23"/>
      <c r="J966" s="22"/>
    </row>
    <row r="967">
      <c r="A967" s="24">
        <f>IFERROR(__xludf.DUMMYFUNCTION("""COMPUTED_VALUE"""),45527.0)</f>
        <v>45527</v>
      </c>
      <c r="B967" s="20">
        <f>IFERROR(__xludf.DUMMYFUNCTION("""COMPUTED_VALUE"""),0.5117315789473684)</f>
        <v>0.5117315789</v>
      </c>
      <c r="C967" s="21">
        <f>IFERROR(__xludf.DUMMYFUNCTION("""COMPUTED_VALUE"""),0.4275)</f>
        <v>0.4275</v>
      </c>
      <c r="D967" s="25">
        <f>IFERROR(__xludf.DUMMYFUNCTION("""COMPUTED_VALUE"""),0.6495)</f>
        <v>0.6495</v>
      </c>
      <c r="E967" s="20">
        <f>IFERROR(__xludf.DUMMYFUNCTION("""COMPUTED_VALUE"""),0.4279235714285714)</f>
        <v>0.4279235714</v>
      </c>
      <c r="F967" s="20">
        <f>IFERROR(__xludf.DUMMYFUNCTION("""COMPUTED_VALUE"""),0.4540365392857142)</f>
        <v>0.4540365393</v>
      </c>
      <c r="G967" s="20"/>
      <c r="H967" s="23"/>
      <c r="J967" s="22"/>
    </row>
    <row r="968">
      <c r="A968" s="24">
        <f>IFERROR(__xludf.DUMMYFUNCTION("""COMPUTED_VALUE"""),45528.0)</f>
        <v>45528</v>
      </c>
      <c r="B968" s="20">
        <f>IFERROR(__xludf.DUMMYFUNCTION("""COMPUTED_VALUE"""),0.5117315789473684)</f>
        <v>0.5117315789</v>
      </c>
      <c r="C968" s="21">
        <f>IFERROR(__xludf.DUMMYFUNCTION("""COMPUTED_VALUE"""),0.4275)</f>
        <v>0.4275</v>
      </c>
      <c r="D968" s="25">
        <f>IFERROR(__xludf.DUMMYFUNCTION("""COMPUTED_VALUE"""),0.6495)</f>
        <v>0.6495</v>
      </c>
      <c r="E968" s="20">
        <f>IFERROR(__xludf.DUMMYFUNCTION("""COMPUTED_VALUE"""),0.42593642857142855)</f>
        <v>0.4259364286</v>
      </c>
      <c r="F968" s="20">
        <f>IFERROR(__xludf.DUMMYFUNCTION("""COMPUTED_VALUE"""),0.4499204785714285)</f>
        <v>0.4499204786</v>
      </c>
      <c r="G968" s="20"/>
      <c r="H968" s="23"/>
      <c r="J968" s="22"/>
    </row>
    <row r="969">
      <c r="A969" s="24">
        <f>IFERROR(__xludf.DUMMYFUNCTION("""COMPUTED_VALUE"""),45529.0)</f>
        <v>45529</v>
      </c>
      <c r="B969" s="20">
        <f>IFERROR(__xludf.DUMMYFUNCTION("""COMPUTED_VALUE"""),0.5117315789473684)</f>
        <v>0.5117315789</v>
      </c>
      <c r="C969" s="21">
        <f>IFERROR(__xludf.DUMMYFUNCTION("""COMPUTED_VALUE"""),0.4275)</f>
        <v>0.4275</v>
      </c>
      <c r="D969" s="25">
        <f>IFERROR(__xludf.DUMMYFUNCTION("""COMPUTED_VALUE"""),0.6495)</f>
        <v>0.6495</v>
      </c>
      <c r="E969" s="20">
        <f>IFERROR(__xludf.DUMMYFUNCTION("""COMPUTED_VALUE"""),0.42394928571428564)</f>
        <v>0.4239492857</v>
      </c>
      <c r="F969" s="20">
        <f>IFERROR(__xludf.DUMMYFUNCTION("""COMPUTED_VALUE"""),0.4458044178571427)</f>
        <v>0.4458044179</v>
      </c>
      <c r="G969" s="20"/>
      <c r="H969" s="23"/>
      <c r="J969" s="22"/>
    </row>
    <row r="970">
      <c r="A970" s="24">
        <f>IFERROR(__xludf.DUMMYFUNCTION("""COMPUTED_VALUE"""),45530.0)</f>
        <v>45530</v>
      </c>
      <c r="B970" s="20">
        <f>IFERROR(__xludf.DUMMYFUNCTION("""COMPUTED_VALUE"""),0.5108950000000002)</f>
        <v>0.510895</v>
      </c>
      <c r="C970" s="21">
        <f>IFERROR(__xludf.DUMMYFUNCTION("""COMPUTED_VALUE"""),0.4295)</f>
        <v>0.4295</v>
      </c>
      <c r="D970" s="25">
        <f>IFERROR(__xludf.DUMMYFUNCTION("""COMPUTED_VALUE"""),0.6495)</f>
        <v>0.6495</v>
      </c>
      <c r="E970" s="20">
        <f>IFERROR(__xludf.DUMMYFUNCTION("""COMPUTED_VALUE"""),0.42119785714285707)</f>
        <v>0.4211978571</v>
      </c>
      <c r="F970" s="20">
        <f>IFERROR(__xludf.DUMMYFUNCTION("""COMPUTED_VALUE"""),0.4430396142857142)</f>
        <v>0.4430396143</v>
      </c>
      <c r="G970" s="20"/>
      <c r="H970" s="23"/>
      <c r="J970" s="22"/>
    </row>
    <row r="971">
      <c r="A971" s="24">
        <f>IFERROR(__xludf.DUMMYFUNCTION("""COMPUTED_VALUE"""),45531.0)</f>
        <v>45531</v>
      </c>
      <c r="B971" s="20">
        <f>IFERROR(__xludf.DUMMYFUNCTION("""COMPUTED_VALUE"""),0.5108950000000002)</f>
        <v>0.510895</v>
      </c>
      <c r="C971" s="21">
        <f>IFERROR(__xludf.DUMMYFUNCTION("""COMPUTED_VALUE"""),0.4295)</f>
        <v>0.4295</v>
      </c>
      <c r="D971" s="25">
        <f>IFERROR(__xludf.DUMMYFUNCTION("""COMPUTED_VALUE"""),0.6495)</f>
        <v>0.6495</v>
      </c>
      <c r="E971" s="20">
        <f>IFERROR(__xludf.DUMMYFUNCTION("""COMPUTED_VALUE"""),0.4214271428571429)</f>
        <v>0.4214271429</v>
      </c>
      <c r="F971" s="20">
        <f>IFERROR(__xludf.DUMMYFUNCTION("""COMPUTED_VALUE"""),0.4436498964285714)</f>
        <v>0.4436498964</v>
      </c>
      <c r="G971" s="20"/>
      <c r="H971" s="23"/>
      <c r="J971" s="22"/>
    </row>
    <row r="972">
      <c r="A972" s="24">
        <f>IFERROR(__xludf.DUMMYFUNCTION("""COMPUTED_VALUE"""),45532.0)</f>
        <v>45532</v>
      </c>
      <c r="B972" s="20">
        <f>IFERROR(__xludf.DUMMYFUNCTION("""COMPUTED_VALUE"""),0.5108950000000002)</f>
        <v>0.510895</v>
      </c>
      <c r="C972" s="21">
        <f>IFERROR(__xludf.DUMMYFUNCTION("""COMPUTED_VALUE"""),0.4295)</f>
        <v>0.4295</v>
      </c>
      <c r="D972" s="25">
        <f>IFERROR(__xludf.DUMMYFUNCTION("""COMPUTED_VALUE"""),0.6495)</f>
        <v>0.6495</v>
      </c>
      <c r="E972" s="20">
        <f>IFERROR(__xludf.DUMMYFUNCTION("""COMPUTED_VALUE"""),0.4237964285714286)</f>
        <v>0.4237964286</v>
      </c>
      <c r="F972" s="20">
        <f>IFERROR(__xludf.DUMMYFUNCTION("""COMPUTED_VALUE"""),0.44519986785714283)</f>
        <v>0.4451998679</v>
      </c>
      <c r="G972" s="20"/>
      <c r="H972" s="23"/>
      <c r="J972" s="22"/>
    </row>
    <row r="973">
      <c r="A973" s="24">
        <f>IFERROR(__xludf.DUMMYFUNCTION("""COMPUTED_VALUE"""),45533.0)</f>
        <v>45533</v>
      </c>
      <c r="B973" s="20">
        <f>IFERROR(__xludf.DUMMYFUNCTION("""COMPUTED_VALUE"""),0.5108950000000002)</f>
        <v>0.510895</v>
      </c>
      <c r="C973" s="21">
        <f>IFERROR(__xludf.DUMMYFUNCTION("""COMPUTED_VALUE"""),0.4295)</f>
        <v>0.4295</v>
      </c>
      <c r="D973" s="25">
        <f>IFERROR(__xludf.DUMMYFUNCTION("""COMPUTED_VALUE"""),0.6495)</f>
        <v>0.6495</v>
      </c>
      <c r="E973" s="20">
        <f>IFERROR(__xludf.DUMMYFUNCTION("""COMPUTED_VALUE"""),0.42968142857142855)</f>
        <v>0.4296814286</v>
      </c>
      <c r="F973" s="20">
        <f>IFERROR(__xludf.DUMMYFUNCTION("""COMPUTED_VALUE"""),0.44681518571428563)</f>
        <v>0.4468151857</v>
      </c>
      <c r="G973" s="20"/>
      <c r="H973" s="23"/>
      <c r="J973" s="22"/>
    </row>
    <row r="974">
      <c r="A974" s="24">
        <f>IFERROR(__xludf.DUMMYFUNCTION("""COMPUTED_VALUE"""),45534.0)</f>
        <v>45534</v>
      </c>
      <c r="B974" s="20">
        <f>IFERROR(__xludf.DUMMYFUNCTION("""COMPUTED_VALUE"""),0.5108950000000002)</f>
        <v>0.510895</v>
      </c>
      <c r="C974" s="21">
        <f>IFERROR(__xludf.DUMMYFUNCTION("""COMPUTED_VALUE"""),0.4295)</f>
        <v>0.4295</v>
      </c>
      <c r="D974" s="25">
        <f>IFERROR(__xludf.DUMMYFUNCTION("""COMPUTED_VALUE"""),0.6495)</f>
        <v>0.6495</v>
      </c>
      <c r="E974" s="20">
        <f>IFERROR(__xludf.DUMMYFUNCTION("""COMPUTED_VALUE"""),0.4354135714285715)</f>
        <v>0.4354135714</v>
      </c>
      <c r="F974" s="20">
        <f>IFERROR(__xludf.DUMMYFUNCTION("""COMPUTED_VALUE"""),0.44865405714285705)</f>
        <v>0.4486540571</v>
      </c>
      <c r="G974" s="20"/>
      <c r="H974" s="23"/>
      <c r="J974" s="22"/>
    </row>
    <row r="975">
      <c r="A975" s="24">
        <f>IFERROR(__xludf.DUMMYFUNCTION("""COMPUTED_VALUE"""),45535.0)</f>
        <v>45535</v>
      </c>
      <c r="B975" s="20">
        <f>IFERROR(__xludf.DUMMYFUNCTION("""COMPUTED_VALUE"""),0.5108950000000002)</f>
        <v>0.510895</v>
      </c>
      <c r="C975" s="21">
        <f>IFERROR(__xludf.DUMMYFUNCTION("""COMPUTED_VALUE"""),0.4295)</f>
        <v>0.4295</v>
      </c>
      <c r="D975" s="25">
        <f>IFERROR(__xludf.DUMMYFUNCTION("""COMPUTED_VALUE"""),0.6495)</f>
        <v>0.6495</v>
      </c>
      <c r="E975" s="20">
        <f>IFERROR(__xludf.DUMMYFUNCTION("""COMPUTED_VALUE"""),0.44084)</f>
        <v>0.44084</v>
      </c>
      <c r="F975" s="20">
        <f>IFERROR(__xludf.DUMMYFUNCTION("""COMPUTED_VALUE"""),0.4504929285714285)</f>
        <v>0.4504929286</v>
      </c>
      <c r="G975" s="20"/>
      <c r="H975" s="23"/>
      <c r="J975" s="22"/>
    </row>
    <row r="976">
      <c r="A976" s="24">
        <f>IFERROR(__xludf.DUMMYFUNCTION("""COMPUTED_VALUE"""),45536.0)</f>
        <v>45536</v>
      </c>
      <c r="B976" s="20">
        <f>IFERROR(__xludf.DUMMYFUNCTION("""COMPUTED_VALUE"""),0.5108950000000002)</f>
        <v>0.510895</v>
      </c>
      <c r="C976" s="21">
        <f>IFERROR(__xludf.DUMMYFUNCTION("""COMPUTED_VALUE"""),0.4295)</f>
        <v>0.4295</v>
      </c>
      <c r="D976" s="25">
        <f>IFERROR(__xludf.DUMMYFUNCTION("""COMPUTED_VALUE"""),0.6495)</f>
        <v>0.6495</v>
      </c>
      <c r="E976" s="20">
        <f>IFERROR(__xludf.DUMMYFUNCTION("""COMPUTED_VALUE"""),0.4458078571428571)</f>
        <v>0.4458078571</v>
      </c>
      <c r="F976" s="20">
        <f>IFERROR(__xludf.DUMMYFUNCTION("""COMPUTED_VALUE"""),0.45233179999999995)</f>
        <v>0.4523318</v>
      </c>
      <c r="G976" s="20"/>
      <c r="H976" s="23"/>
      <c r="J976" s="22"/>
    </row>
    <row r="977">
      <c r="A977" s="24">
        <f>IFERROR(__xludf.DUMMYFUNCTION("""COMPUTED_VALUE"""),45537.0)</f>
        <v>45537</v>
      </c>
      <c r="B977" s="20">
        <f>IFERROR(__xludf.DUMMYFUNCTION("""COMPUTED_VALUE"""),0.5108950000000002)</f>
        <v>0.510895</v>
      </c>
      <c r="C977" s="21">
        <f>IFERROR(__xludf.DUMMYFUNCTION("""COMPUTED_VALUE"""),0.4295)</f>
        <v>0.4295</v>
      </c>
      <c r="D977" s="25">
        <f>IFERROR(__xludf.DUMMYFUNCTION("""COMPUTED_VALUE"""),0.6495)</f>
        <v>0.6495</v>
      </c>
      <c r="E977" s="20">
        <f>IFERROR(__xludf.DUMMYFUNCTION("""COMPUTED_VALUE"""),0.4500878571428571)</f>
        <v>0.4500878571</v>
      </c>
      <c r="F977" s="20">
        <f>IFERROR(__xludf.DUMMYFUNCTION("""COMPUTED_VALUE"""),0.4520891392857142)</f>
        <v>0.4520891393</v>
      </c>
      <c r="G977" s="20"/>
      <c r="H977" s="23"/>
      <c r="J977" s="22"/>
    </row>
    <row r="978">
      <c r="A978" s="24">
        <f>IFERROR(__xludf.DUMMYFUNCTION("""COMPUTED_VALUE"""),45538.0)</f>
        <v>45538</v>
      </c>
      <c r="B978" s="20">
        <f>IFERROR(__xludf.DUMMYFUNCTION("""COMPUTED_VALUE"""),0.5108950000000002)</f>
        <v>0.510895</v>
      </c>
      <c r="C978" s="21">
        <f>IFERROR(__xludf.DUMMYFUNCTION("""COMPUTED_VALUE"""),0.4295)</f>
        <v>0.4295</v>
      </c>
      <c r="D978" s="25">
        <f>IFERROR(__xludf.DUMMYFUNCTION("""COMPUTED_VALUE"""),0.6495)</f>
        <v>0.6495</v>
      </c>
      <c r="E978" s="20">
        <f>IFERROR(__xludf.DUMMYFUNCTION("""COMPUTED_VALUE"""),0.45260999999999996)</f>
        <v>0.45261</v>
      </c>
      <c r="F978" s="20">
        <f>IFERROR(__xludf.DUMMYFUNCTION("""COMPUTED_VALUE"""),0.4494626714285714)</f>
        <v>0.4494626714</v>
      </c>
      <c r="G978" s="20"/>
      <c r="H978" s="23"/>
      <c r="J978" s="22"/>
    </row>
    <row r="979">
      <c r="A979" s="24">
        <f>IFERROR(__xludf.DUMMYFUNCTION("""COMPUTED_VALUE"""),45539.0)</f>
        <v>45539</v>
      </c>
      <c r="B979" s="20">
        <f>IFERROR(__xludf.DUMMYFUNCTION("""COMPUTED_VALUE"""),0.5108950000000002)</f>
        <v>0.510895</v>
      </c>
      <c r="C979" s="21">
        <f>IFERROR(__xludf.DUMMYFUNCTION("""COMPUTED_VALUE"""),0.4295)</f>
        <v>0.4295</v>
      </c>
      <c r="D979" s="25">
        <f>IFERROR(__xludf.DUMMYFUNCTION("""COMPUTED_VALUE"""),0.6495)</f>
        <v>0.6495</v>
      </c>
      <c r="E979" s="20">
        <f>IFERROR(__xludf.DUMMYFUNCTION("""COMPUTED_VALUE"""),0.45268642857142855)</f>
        <v>0.4526864286</v>
      </c>
      <c r="F979" s="20">
        <f>IFERROR(__xludf.DUMMYFUNCTION("""COMPUTED_VALUE"""),0.44538749999999994)</f>
        <v>0.4453875</v>
      </c>
      <c r="G979" s="20"/>
      <c r="H979" s="23"/>
      <c r="J979" s="22"/>
    </row>
    <row r="980">
      <c r="A980" s="24">
        <f>IFERROR(__xludf.DUMMYFUNCTION("""COMPUTED_VALUE"""),45540.0)</f>
        <v>45540</v>
      </c>
      <c r="B980" s="20">
        <f>IFERROR(__xludf.DUMMYFUNCTION("""COMPUTED_VALUE"""),0.5108950000000002)</f>
        <v>0.510895</v>
      </c>
      <c r="C980" s="21">
        <f>IFERROR(__xludf.DUMMYFUNCTION("""COMPUTED_VALUE"""),0.4295)</f>
        <v>0.4295</v>
      </c>
      <c r="D980" s="25">
        <f>IFERROR(__xludf.DUMMYFUNCTION("""COMPUTED_VALUE"""),0.6495)</f>
        <v>0.6495</v>
      </c>
      <c r="E980" s="20">
        <f>IFERROR(__xludf.DUMMYFUNCTION("""COMPUTED_VALUE"""),0.4490178571428571)</f>
        <v>0.4490178571</v>
      </c>
      <c r="F980" s="20">
        <f>IFERROR(__xludf.DUMMYFUNCTION("""COMPUTED_VALUE"""),0.4420548321428571)</f>
        <v>0.4420548321</v>
      </c>
      <c r="G980" s="20"/>
      <c r="H980" s="23"/>
      <c r="J980" s="22"/>
    </row>
    <row r="981">
      <c r="A981" s="24">
        <f>IFERROR(__xludf.DUMMYFUNCTION("""COMPUTED_VALUE"""),45541.0)</f>
        <v>45541</v>
      </c>
      <c r="B981" s="20">
        <f>IFERROR(__xludf.DUMMYFUNCTION("""COMPUTED_VALUE"""),0.5108950000000002)</f>
        <v>0.510895</v>
      </c>
      <c r="C981" s="21">
        <f>IFERROR(__xludf.DUMMYFUNCTION("""COMPUTED_VALUE"""),0.4295)</f>
        <v>0.4295</v>
      </c>
      <c r="D981" s="25">
        <f>IFERROR(__xludf.DUMMYFUNCTION("""COMPUTED_VALUE"""),0.6495)</f>
        <v>0.6495</v>
      </c>
      <c r="E981" s="20">
        <f>IFERROR(__xludf.DUMMYFUNCTION("""COMPUTED_VALUE"""),0.4454257142857142)</f>
        <v>0.4454257143</v>
      </c>
      <c r="F981" s="20">
        <f>IFERROR(__xludf.DUMMYFUNCTION("""COMPUTED_VALUE"""),0.43818028571428563)</f>
        <v>0.4381802857</v>
      </c>
      <c r="G981" s="20"/>
      <c r="H981" s="23"/>
      <c r="J981" s="22"/>
    </row>
    <row r="982">
      <c r="A982" s="24">
        <f>IFERROR(__xludf.DUMMYFUNCTION("""COMPUTED_VALUE"""),45542.0)</f>
        <v>45542</v>
      </c>
      <c r="B982" s="20">
        <f>IFERROR(__xludf.DUMMYFUNCTION("""COMPUTED_VALUE"""),0.5108950000000002)</f>
        <v>0.510895</v>
      </c>
      <c r="C982" s="21">
        <f>IFERROR(__xludf.DUMMYFUNCTION("""COMPUTED_VALUE"""),0.4295)</f>
        <v>0.4295</v>
      </c>
      <c r="D982" s="25">
        <f>IFERROR(__xludf.DUMMYFUNCTION("""COMPUTED_VALUE"""),0.6495)</f>
        <v>0.6495</v>
      </c>
      <c r="E982" s="20">
        <f>IFERROR(__xludf.DUMMYFUNCTION("""COMPUTED_VALUE"""),0.4419099999999999)</f>
        <v>0.44191</v>
      </c>
      <c r="F982" s="20">
        <f>IFERROR(__xludf.DUMMYFUNCTION("""COMPUTED_VALUE"""),0.4343057392857142)</f>
        <v>0.4343057393</v>
      </c>
      <c r="G982" s="20"/>
      <c r="H982" s="23"/>
      <c r="J982" s="22"/>
    </row>
    <row r="983">
      <c r="A983" s="24">
        <f>IFERROR(__xludf.DUMMYFUNCTION("""COMPUTED_VALUE"""),45543.0)</f>
        <v>45543</v>
      </c>
      <c r="B983" s="20">
        <f>IFERROR(__xludf.DUMMYFUNCTION("""COMPUTED_VALUE"""),0.5108950000000002)</f>
        <v>0.510895</v>
      </c>
      <c r="C983" s="21">
        <f>IFERROR(__xludf.DUMMYFUNCTION("""COMPUTED_VALUE"""),0.4295)</f>
        <v>0.4295</v>
      </c>
      <c r="D983" s="25">
        <f>IFERROR(__xludf.DUMMYFUNCTION("""COMPUTED_VALUE"""),0.6495)</f>
        <v>0.6495</v>
      </c>
      <c r="E983" s="20">
        <f>IFERROR(__xludf.DUMMYFUNCTION("""COMPUTED_VALUE"""),0.4388528571428571)</f>
        <v>0.4388528571</v>
      </c>
      <c r="F983" s="20">
        <f>IFERROR(__xludf.DUMMYFUNCTION("""COMPUTED_VALUE"""),0.43043119285714276)</f>
        <v>0.4304311929</v>
      </c>
      <c r="G983" s="20"/>
      <c r="H983" s="23"/>
      <c r="J983" s="22"/>
    </row>
    <row r="984">
      <c r="A984" s="24">
        <f>IFERROR(__xludf.DUMMYFUNCTION("""COMPUTED_VALUE"""),45544.0)</f>
        <v>45544</v>
      </c>
      <c r="B984" s="20">
        <f>IFERROR(__xludf.DUMMYFUNCTION("""COMPUTED_VALUE"""),0.5148150000000001)</f>
        <v>0.514815</v>
      </c>
      <c r="C984" s="21">
        <f>IFERROR(__xludf.DUMMYFUNCTION("""COMPUTED_VALUE"""),0.4375)</f>
        <v>0.4375</v>
      </c>
      <c r="D984" s="25">
        <f>IFERROR(__xludf.DUMMYFUNCTION("""COMPUTED_VALUE"""),0.6645)</f>
        <v>0.6645</v>
      </c>
      <c r="E984" s="20">
        <f>IFERROR(__xludf.DUMMYFUNCTION("""COMPUTED_VALUE"""),0.4361778571428571)</f>
        <v>0.4361778571</v>
      </c>
      <c r="F984" s="20">
        <f>IFERROR(__xludf.DUMMYFUNCTION("""COMPUTED_VALUE"""),0.4283450749999999)</f>
        <v>0.428345075</v>
      </c>
      <c r="G984" s="20"/>
      <c r="H984" s="23"/>
      <c r="J984" s="22"/>
    </row>
    <row r="985">
      <c r="A985" s="24">
        <f>IFERROR(__xludf.DUMMYFUNCTION("""COMPUTED_VALUE"""),45545.0)</f>
        <v>45545</v>
      </c>
      <c r="B985" s="20">
        <f>IFERROR(__xludf.DUMMYFUNCTION("""COMPUTED_VALUE"""),0.5148150000000001)</f>
        <v>0.514815</v>
      </c>
      <c r="C985" s="21">
        <f>IFERROR(__xludf.DUMMYFUNCTION("""COMPUTED_VALUE"""),0.4375)</f>
        <v>0.4375</v>
      </c>
      <c r="D985" s="25">
        <f>IFERROR(__xludf.DUMMYFUNCTION("""COMPUTED_VALUE"""),0.6645)</f>
        <v>0.6645</v>
      </c>
      <c r="E985" s="20">
        <f>IFERROR(__xludf.DUMMYFUNCTION("""COMPUTED_VALUE"""),0.4316685714285714)</f>
        <v>0.4316685714</v>
      </c>
      <c r="F985" s="20">
        <f>IFERROR(__xludf.DUMMYFUNCTION("""COMPUTED_VALUE"""),0.4252695892857143)</f>
        <v>0.4252695893</v>
      </c>
      <c r="G985" s="20"/>
      <c r="H985" s="23"/>
      <c r="J985" s="22"/>
    </row>
    <row r="986">
      <c r="A986" s="24">
        <f>IFERROR(__xludf.DUMMYFUNCTION("""COMPUTED_VALUE"""),45546.0)</f>
        <v>45546</v>
      </c>
      <c r="B986" s="20">
        <f>IFERROR(__xludf.DUMMYFUNCTION("""COMPUTED_VALUE"""),0.5148150000000001)</f>
        <v>0.514815</v>
      </c>
      <c r="C986" s="21">
        <f>IFERROR(__xludf.DUMMYFUNCTION("""COMPUTED_VALUE"""),0.4375)</f>
        <v>0.4375</v>
      </c>
      <c r="D986" s="25">
        <f>IFERROR(__xludf.DUMMYFUNCTION("""COMPUTED_VALUE"""),0.6645)</f>
        <v>0.6645</v>
      </c>
      <c r="E986" s="20">
        <f>IFERROR(__xludf.DUMMYFUNCTION("""COMPUTED_VALUE"""),0.4250957142857143)</f>
        <v>0.4250957143</v>
      </c>
      <c r="F986" s="20">
        <f>IFERROR(__xludf.DUMMYFUNCTION("""COMPUTED_VALUE"""),0.4244793178571428)</f>
        <v>0.4244793179</v>
      </c>
      <c r="G986" s="20"/>
      <c r="H986" s="23"/>
      <c r="J986" s="22"/>
    </row>
    <row r="987">
      <c r="A987" s="24">
        <f>IFERROR(__xludf.DUMMYFUNCTION("""COMPUTED_VALUE"""),45547.0)</f>
        <v>45547</v>
      </c>
      <c r="B987" s="20">
        <f>IFERROR(__xludf.DUMMYFUNCTION("""COMPUTED_VALUE"""),0.5148150000000001)</f>
        <v>0.514815</v>
      </c>
      <c r="C987" s="21">
        <f>IFERROR(__xludf.DUMMYFUNCTION("""COMPUTED_VALUE"""),0.4375)</f>
        <v>0.4375</v>
      </c>
      <c r="D987" s="25">
        <f>IFERROR(__xludf.DUMMYFUNCTION("""COMPUTED_VALUE"""),0.6645)</f>
        <v>0.6645</v>
      </c>
      <c r="E987" s="20">
        <f>IFERROR(__xludf.DUMMYFUNCTION("""COMPUTED_VALUE"""),0.42112142857142854)</f>
        <v>0.4211214286</v>
      </c>
      <c r="F987" s="20">
        <f>IFERROR(__xludf.DUMMYFUNCTION("""COMPUTED_VALUE"""),0.42202099285714284)</f>
        <v>0.4220209929</v>
      </c>
      <c r="G987" s="20"/>
      <c r="H987" s="23"/>
      <c r="J987" s="22"/>
    </row>
    <row r="988">
      <c r="A988" s="24">
        <f>IFERROR(__xludf.DUMMYFUNCTION("""COMPUTED_VALUE"""),45548.0)</f>
        <v>45548</v>
      </c>
      <c r="B988" s="20">
        <f>IFERROR(__xludf.DUMMYFUNCTION("""COMPUTED_VALUE"""),0.5148150000000001)</f>
        <v>0.514815</v>
      </c>
      <c r="C988" s="21">
        <f>IFERROR(__xludf.DUMMYFUNCTION("""COMPUTED_VALUE"""),0.4375)</f>
        <v>0.4375</v>
      </c>
      <c r="D988" s="25">
        <f>IFERROR(__xludf.DUMMYFUNCTION("""COMPUTED_VALUE"""),0.6645)</f>
        <v>0.6645</v>
      </c>
      <c r="E988" s="20">
        <f>IFERROR(__xludf.DUMMYFUNCTION("""COMPUTED_VALUE"""),0.4170707142857143)</f>
        <v>0.4170707143</v>
      </c>
      <c r="F988" s="20">
        <f>IFERROR(__xludf.DUMMYFUNCTION("""COMPUTED_VALUE"""),0.4195855964285714)</f>
        <v>0.4195855964</v>
      </c>
      <c r="G988" s="20"/>
      <c r="H988" s="23"/>
      <c r="J988" s="22"/>
    </row>
    <row r="989">
      <c r="A989" s="24">
        <f>IFERROR(__xludf.DUMMYFUNCTION("""COMPUTED_VALUE"""),45549.0)</f>
        <v>45549</v>
      </c>
      <c r="B989" s="20">
        <f>IFERROR(__xludf.DUMMYFUNCTION("""COMPUTED_VALUE"""),0.5148150000000001)</f>
        <v>0.514815</v>
      </c>
      <c r="C989" s="21">
        <f>IFERROR(__xludf.DUMMYFUNCTION("""COMPUTED_VALUE"""),0.4375)</f>
        <v>0.4375</v>
      </c>
      <c r="D989" s="25">
        <f>IFERROR(__xludf.DUMMYFUNCTION("""COMPUTED_VALUE"""),0.6645)</f>
        <v>0.6645</v>
      </c>
      <c r="E989" s="20">
        <f>IFERROR(__xludf.DUMMYFUNCTION("""COMPUTED_VALUE"""),0.4118735714285714)</f>
        <v>0.4118735714</v>
      </c>
      <c r="F989" s="20">
        <f>IFERROR(__xludf.DUMMYFUNCTION("""COMPUTED_VALUE"""),0.4171501999999999)</f>
        <v>0.4171502</v>
      </c>
      <c r="G989" s="20"/>
      <c r="H989" s="23"/>
      <c r="J989" s="22"/>
    </row>
    <row r="990">
      <c r="A990" s="24">
        <f>IFERROR(__xludf.DUMMYFUNCTION("""COMPUTED_VALUE"""),45550.0)</f>
        <v>45550</v>
      </c>
      <c r="B990" s="20">
        <f>IFERROR(__xludf.DUMMYFUNCTION("""COMPUTED_VALUE"""),0.5148150000000001)</f>
        <v>0.514815</v>
      </c>
      <c r="C990" s="21">
        <f>IFERROR(__xludf.DUMMYFUNCTION("""COMPUTED_VALUE"""),0.4375)</f>
        <v>0.4375</v>
      </c>
      <c r="D990" s="25">
        <f>IFERROR(__xludf.DUMMYFUNCTION("""COMPUTED_VALUE"""),0.6645)</f>
        <v>0.6645</v>
      </c>
      <c r="E990" s="20">
        <f>IFERROR(__xludf.DUMMYFUNCTION("""COMPUTED_VALUE"""),0.40667642857142855)</f>
        <v>0.4066764286</v>
      </c>
      <c r="F990" s="20">
        <f>IFERROR(__xludf.DUMMYFUNCTION("""COMPUTED_VALUE"""),0.4147148035714285)</f>
        <v>0.4147148036</v>
      </c>
      <c r="G990" s="20"/>
      <c r="H990" s="23"/>
      <c r="J990" s="22"/>
    </row>
    <row r="991">
      <c r="A991" s="24">
        <f>IFERROR(__xludf.DUMMYFUNCTION("""COMPUTED_VALUE"""),45551.0)</f>
        <v>45551</v>
      </c>
      <c r="B991" s="20">
        <f>IFERROR(__xludf.DUMMYFUNCTION("""COMPUTED_VALUE"""),0.5148150000000001)</f>
        <v>0.514815</v>
      </c>
      <c r="C991" s="21">
        <f>IFERROR(__xludf.DUMMYFUNCTION("""COMPUTED_VALUE"""),0.4375)</f>
        <v>0.4375</v>
      </c>
      <c r="D991" s="25">
        <f>IFERROR(__xludf.DUMMYFUNCTION("""COMPUTED_VALUE"""),0.6645)</f>
        <v>0.6645</v>
      </c>
      <c r="E991" s="20">
        <f>IFERROR(__xludf.DUMMYFUNCTION("""COMPUTED_VALUE"""),0.4020907142857143)</f>
        <v>0.4020907143</v>
      </c>
      <c r="F991" s="20">
        <f>IFERROR(__xludf.DUMMYFUNCTION("""COMPUTED_VALUE"""),0.40976796428571427)</f>
        <v>0.4097679643</v>
      </c>
      <c r="G991" s="20"/>
      <c r="H991" s="23"/>
      <c r="J991" s="22"/>
    </row>
    <row r="992">
      <c r="A992" s="24">
        <f>IFERROR(__xludf.DUMMYFUNCTION("""COMPUTED_VALUE"""),45552.0)</f>
        <v>45552</v>
      </c>
      <c r="B992" s="20">
        <f>IFERROR(__xludf.DUMMYFUNCTION("""COMPUTED_VALUE"""),0.5148150000000001)</f>
        <v>0.514815</v>
      </c>
      <c r="C992" s="21">
        <f>IFERROR(__xludf.DUMMYFUNCTION("""COMPUTED_VALUE"""),0.4375)</f>
        <v>0.4375</v>
      </c>
      <c r="D992" s="25">
        <f>IFERROR(__xludf.DUMMYFUNCTION("""COMPUTED_VALUE"""),0.6645)</f>
        <v>0.6645</v>
      </c>
      <c r="E992" s="20">
        <f>IFERROR(__xludf.DUMMYFUNCTION("""COMPUTED_VALUE"""),0.3967407142857143)</f>
        <v>0.3967407143</v>
      </c>
      <c r="F992" s="20">
        <f>IFERROR(__xludf.DUMMYFUNCTION("""COMPUTED_VALUE"""),0.4094641607142857)</f>
        <v>0.4094641607</v>
      </c>
      <c r="G992" s="20"/>
      <c r="H992" s="23"/>
      <c r="J992" s="22"/>
    </row>
    <row r="993">
      <c r="A993" s="24">
        <f>IFERROR(__xludf.DUMMYFUNCTION("""COMPUTED_VALUE"""),45553.0)</f>
        <v>45553</v>
      </c>
      <c r="B993" s="20">
        <f>IFERROR(__xludf.DUMMYFUNCTION("""COMPUTED_VALUE"""),0.5148150000000001)</f>
        <v>0.514815</v>
      </c>
      <c r="C993" s="21">
        <f>IFERROR(__xludf.DUMMYFUNCTION("""COMPUTED_VALUE"""),0.4375)</f>
        <v>0.4375</v>
      </c>
      <c r="D993" s="25">
        <f>IFERROR(__xludf.DUMMYFUNCTION("""COMPUTED_VALUE"""),0.6645)</f>
        <v>0.6645</v>
      </c>
      <c r="E993" s="20">
        <f>IFERROR(__xludf.DUMMYFUNCTION("""COMPUTED_VALUE"""),0.39803999999999995)</f>
        <v>0.39804</v>
      </c>
      <c r="F993" s="20">
        <f>IFERROR(__xludf.DUMMYFUNCTION("""COMPUTED_VALUE"""),0.4086937607142857)</f>
        <v>0.4086937607</v>
      </c>
      <c r="G993" s="20"/>
      <c r="H993" s="23"/>
      <c r="J993" s="22"/>
    </row>
    <row r="994">
      <c r="A994" s="24">
        <f>IFERROR(__xludf.DUMMYFUNCTION("""COMPUTED_VALUE"""),45554.0)</f>
        <v>45554</v>
      </c>
      <c r="B994" s="20">
        <f>IFERROR(__xludf.DUMMYFUNCTION("""COMPUTED_VALUE"""),0.5148150000000001)</f>
        <v>0.514815</v>
      </c>
      <c r="C994" s="21">
        <f>IFERROR(__xludf.DUMMYFUNCTION("""COMPUTED_VALUE"""),0.4375)</f>
        <v>0.4375</v>
      </c>
      <c r="D994" s="25">
        <f>IFERROR(__xludf.DUMMYFUNCTION("""COMPUTED_VALUE"""),0.6645)</f>
        <v>0.6645</v>
      </c>
      <c r="E994" s="20">
        <f>IFERROR(__xludf.DUMMYFUNCTION("""COMPUTED_VALUE"""),0.3971992857142857)</f>
        <v>0.3971992857</v>
      </c>
      <c r="F994" s="20">
        <f>IFERROR(__xludf.DUMMYFUNCTION("""COMPUTED_VALUE"""),0.4052002107142857)</f>
        <v>0.4052002107</v>
      </c>
      <c r="G994" s="20"/>
      <c r="H994" s="23"/>
      <c r="J994" s="22"/>
    </row>
    <row r="995">
      <c r="A995" s="24">
        <f>IFERROR(__xludf.DUMMYFUNCTION("""COMPUTED_VALUE"""),45555.0)</f>
        <v>45555</v>
      </c>
      <c r="B995" s="20">
        <f>IFERROR(__xludf.DUMMYFUNCTION("""COMPUTED_VALUE"""),0.5148150000000001)</f>
        <v>0.514815</v>
      </c>
      <c r="C995" s="21">
        <f>IFERROR(__xludf.DUMMYFUNCTION("""COMPUTED_VALUE"""),0.4375)</f>
        <v>0.4375</v>
      </c>
      <c r="D995" s="25">
        <f>IFERROR(__xludf.DUMMYFUNCTION("""COMPUTED_VALUE"""),0.6645)</f>
        <v>0.6645</v>
      </c>
      <c r="E995" s="20">
        <f>IFERROR(__xludf.DUMMYFUNCTION("""COMPUTED_VALUE"""),0.3957471428571429)</f>
        <v>0.3957471429</v>
      </c>
      <c r="F995" s="20">
        <f>IFERROR(__xludf.DUMMYFUNCTION("""COMPUTED_VALUE"""),0.4029979214285714)</f>
        <v>0.4029979214</v>
      </c>
      <c r="G995" s="20"/>
      <c r="H995" s="23"/>
      <c r="J995" s="22"/>
    </row>
    <row r="996">
      <c r="A996" s="24">
        <f>IFERROR(__xludf.DUMMYFUNCTION("""COMPUTED_VALUE"""),45556.0)</f>
        <v>45556</v>
      </c>
      <c r="B996" s="20">
        <f>IFERROR(__xludf.DUMMYFUNCTION("""COMPUTED_VALUE"""),0.5148150000000001)</f>
        <v>0.514815</v>
      </c>
      <c r="C996" s="21">
        <f>IFERROR(__xludf.DUMMYFUNCTION("""COMPUTED_VALUE"""),0.4375)</f>
        <v>0.4375</v>
      </c>
      <c r="D996" s="25">
        <f>IFERROR(__xludf.DUMMYFUNCTION("""COMPUTED_VALUE"""),0.6645)</f>
        <v>0.6645</v>
      </c>
      <c r="E996" s="20">
        <f>IFERROR(__xludf.DUMMYFUNCTION("""COMPUTED_VALUE"""),0.39376)</f>
        <v>0.39376</v>
      </c>
      <c r="F996" s="20">
        <f>IFERROR(__xludf.DUMMYFUNCTION("""COMPUTED_VALUE"""),0.4007956321428571)</f>
        <v>0.4007956321</v>
      </c>
      <c r="G996" s="20"/>
      <c r="H996" s="23"/>
      <c r="J996" s="22"/>
    </row>
    <row r="997">
      <c r="A997" s="24">
        <f>IFERROR(__xludf.DUMMYFUNCTION("""COMPUTED_VALUE"""),45557.0)</f>
        <v>45557</v>
      </c>
      <c r="B997" s="20">
        <f>IFERROR(__xludf.DUMMYFUNCTION("""COMPUTED_VALUE"""),0.5148150000000001)</f>
        <v>0.514815</v>
      </c>
      <c r="C997" s="21">
        <f>IFERROR(__xludf.DUMMYFUNCTION("""COMPUTED_VALUE"""),0.4375)</f>
        <v>0.4375</v>
      </c>
      <c r="D997" s="25">
        <f>IFERROR(__xludf.DUMMYFUNCTION("""COMPUTED_VALUE"""),0.6645)</f>
        <v>0.6645</v>
      </c>
      <c r="E997" s="20">
        <f>IFERROR(__xludf.DUMMYFUNCTION("""COMPUTED_VALUE"""),0.39177285714285714)</f>
        <v>0.3917728571</v>
      </c>
      <c r="F997" s="20">
        <f>IFERROR(__xludf.DUMMYFUNCTION("""COMPUTED_VALUE"""),0.3985933428571428)</f>
        <v>0.3985933429</v>
      </c>
      <c r="G997" s="20"/>
      <c r="H997" s="23"/>
      <c r="J997" s="22"/>
    </row>
    <row r="998">
      <c r="A998" s="24">
        <f>IFERROR(__xludf.DUMMYFUNCTION("""COMPUTED_VALUE"""),45558.0)</f>
        <v>45558</v>
      </c>
      <c r="B998" s="20">
        <f>IFERROR(__xludf.DUMMYFUNCTION("""COMPUTED_VALUE"""),0.5148150000000001)</f>
        <v>0.514815</v>
      </c>
      <c r="C998" s="21">
        <f>IFERROR(__xludf.DUMMYFUNCTION("""COMPUTED_VALUE"""),0.4375)</f>
        <v>0.4375</v>
      </c>
      <c r="D998" s="25">
        <f>IFERROR(__xludf.DUMMYFUNCTION("""COMPUTED_VALUE"""),0.6645)</f>
        <v>0.6645</v>
      </c>
      <c r="E998" s="20">
        <f>IFERROR(__xludf.DUMMYFUNCTION("""COMPUTED_VALUE"""),0.3904735714285715)</f>
        <v>0.3904735714</v>
      </c>
      <c r="F998" s="20">
        <f>IFERROR(__xludf.DUMMYFUNCTION("""COMPUTED_VALUE"""),0.4000378428571429)</f>
        <v>0.4000378429</v>
      </c>
      <c r="G998" s="20"/>
      <c r="H998" s="23"/>
      <c r="J998" s="22"/>
    </row>
    <row r="999">
      <c r="A999" s="24">
        <f>IFERROR(__xludf.DUMMYFUNCTION("""COMPUTED_VALUE"""),45559.0)</f>
        <v>45559</v>
      </c>
      <c r="B999" s="20">
        <f>IFERROR(__xludf.DUMMYFUNCTION("""COMPUTED_VALUE"""),0.5148150000000001)</f>
        <v>0.514815</v>
      </c>
      <c r="C999" s="21">
        <f>IFERROR(__xludf.DUMMYFUNCTION("""COMPUTED_VALUE"""),0.4375)</f>
        <v>0.4375</v>
      </c>
      <c r="D999" s="25">
        <f>IFERROR(__xludf.DUMMYFUNCTION("""COMPUTED_VALUE"""),0.6645)</f>
        <v>0.6645</v>
      </c>
      <c r="E999" s="20">
        <f>IFERROR(__xludf.DUMMYFUNCTION("""COMPUTED_VALUE"""),0.39314857142857146)</f>
        <v>0.3931485714</v>
      </c>
      <c r="F999" s="20">
        <f>IFERROR(__xludf.DUMMYFUNCTION("""COMPUTED_VALUE"""),0.3987305321428572)</f>
        <v>0.3987305321</v>
      </c>
      <c r="G999" s="20"/>
      <c r="H999" s="23"/>
      <c r="J999" s="22"/>
    </row>
    <row r="1000">
      <c r="A1000" s="24">
        <f>IFERROR(__xludf.DUMMYFUNCTION("""COMPUTED_VALUE"""),45560.0)</f>
        <v>45560</v>
      </c>
      <c r="B1000" s="20">
        <f>IFERROR(__xludf.DUMMYFUNCTION("""COMPUTED_VALUE"""),0.5148150000000001)</f>
        <v>0.514815</v>
      </c>
      <c r="C1000" s="21">
        <f>IFERROR(__xludf.DUMMYFUNCTION("""COMPUTED_VALUE"""),0.4375)</f>
        <v>0.4375</v>
      </c>
      <c r="D1000" s="25">
        <f>IFERROR(__xludf.DUMMYFUNCTION("""COMPUTED_VALUE"""),0.6645)</f>
        <v>0.6645</v>
      </c>
      <c r="E1000" s="20">
        <f>IFERROR(__xludf.DUMMYFUNCTION("""COMPUTED_VALUE"""),0.39207857142857144)</f>
        <v>0.3920785714</v>
      </c>
      <c r="F1000" s="20">
        <f>IFERROR(__xludf.DUMMYFUNCTION("""COMPUTED_VALUE"""),0.39927164642857144)</f>
        <v>0.3992716464</v>
      </c>
      <c r="G1000" s="20"/>
      <c r="H1000" s="23"/>
      <c r="J1000" s="22"/>
    </row>
    <row r="1001">
      <c r="A1001" s="24">
        <f>IFERROR(__xludf.DUMMYFUNCTION("""COMPUTED_VALUE"""),45561.0)</f>
        <v>45561</v>
      </c>
      <c r="B1001" s="20">
        <f>IFERROR(__xludf.DUMMYFUNCTION("""COMPUTED_VALUE"""),0.5148150000000001)</f>
        <v>0.514815</v>
      </c>
      <c r="C1001" s="21">
        <f>IFERROR(__xludf.DUMMYFUNCTION("""COMPUTED_VALUE"""),0.4375)</f>
        <v>0.4375</v>
      </c>
      <c r="D1001" s="25">
        <f>IFERROR(__xludf.DUMMYFUNCTION("""COMPUTED_VALUE"""),0.6645)</f>
        <v>0.6645</v>
      </c>
      <c r="E1001" s="20">
        <f>IFERROR(__xludf.DUMMYFUNCTION("""COMPUTED_VALUE"""),0.39414214285714283)</f>
        <v>0.3941421429</v>
      </c>
      <c r="F1001" s="20">
        <f>IFERROR(__xludf.DUMMYFUNCTION("""COMPUTED_VALUE"""),0.4044504464285715)</f>
        <v>0.4044504464</v>
      </c>
      <c r="G1001" s="20"/>
      <c r="H1001" s="23"/>
      <c r="J1001" s="22"/>
    </row>
    <row r="1002">
      <c r="A1002" s="24">
        <f>IFERROR(__xludf.DUMMYFUNCTION("""COMPUTED_VALUE"""),45562.0)</f>
        <v>45562</v>
      </c>
      <c r="B1002" s="20">
        <f>IFERROR(__xludf.DUMMYFUNCTION("""COMPUTED_VALUE"""),0.5148150000000001)</f>
        <v>0.514815</v>
      </c>
      <c r="C1002" s="21">
        <f>IFERROR(__xludf.DUMMYFUNCTION("""COMPUTED_VALUE"""),0.4375)</f>
        <v>0.4375</v>
      </c>
      <c r="D1002" s="25">
        <f>IFERROR(__xludf.DUMMYFUNCTION("""COMPUTED_VALUE"""),0.6645)</f>
        <v>0.6645</v>
      </c>
      <c r="E1002" s="20">
        <f>IFERROR(__xludf.DUMMYFUNCTION("""COMPUTED_VALUE"""),0.39872785714285713)</f>
        <v>0.3987278571</v>
      </c>
      <c r="F1002" s="20">
        <f>IFERROR(__xludf.DUMMYFUNCTION("""COMPUTED_VALUE"""),0.40808080357142856)</f>
        <v>0.4080808036</v>
      </c>
      <c r="G1002" s="20"/>
      <c r="H1002" s="23"/>
      <c r="J1002" s="22"/>
    </row>
    <row r="1003">
      <c r="A1003" s="24">
        <f>IFERROR(__xludf.DUMMYFUNCTION("""COMPUTED_VALUE"""),45563.0)</f>
        <v>45563</v>
      </c>
      <c r="B1003" s="20">
        <f>IFERROR(__xludf.DUMMYFUNCTION("""COMPUTED_VALUE"""),0.5148150000000001)</f>
        <v>0.514815</v>
      </c>
      <c r="C1003" s="21">
        <f>IFERROR(__xludf.DUMMYFUNCTION("""COMPUTED_VALUE"""),0.4375)</f>
        <v>0.4375</v>
      </c>
      <c r="D1003" s="25">
        <f>IFERROR(__xludf.DUMMYFUNCTION("""COMPUTED_VALUE"""),0.6645)</f>
        <v>0.6645</v>
      </c>
      <c r="E1003" s="20">
        <f>IFERROR(__xludf.DUMMYFUNCTION("""COMPUTED_VALUE"""),0.403925)</f>
        <v>0.403925</v>
      </c>
      <c r="F1003" s="20">
        <f>IFERROR(__xludf.DUMMYFUNCTION("""COMPUTED_VALUE"""),0.4117111607142857)</f>
        <v>0.4117111607</v>
      </c>
      <c r="G1003" s="20"/>
      <c r="H1003" s="23"/>
      <c r="J1003" s="22"/>
    </row>
    <row r="1004">
      <c r="A1004" s="24">
        <f>IFERROR(__xludf.DUMMYFUNCTION("""COMPUTED_VALUE"""),45564.0)</f>
        <v>45564</v>
      </c>
      <c r="B1004" s="20">
        <f>IFERROR(__xludf.DUMMYFUNCTION("""COMPUTED_VALUE"""),0.5148150000000001)</f>
        <v>0.514815</v>
      </c>
      <c r="C1004" s="21">
        <f>IFERROR(__xludf.DUMMYFUNCTION("""COMPUTED_VALUE"""),0.4375)</f>
        <v>0.4375</v>
      </c>
      <c r="D1004" s="25">
        <f>IFERROR(__xludf.DUMMYFUNCTION("""COMPUTED_VALUE"""),0.6645)</f>
        <v>0.6645</v>
      </c>
      <c r="E1004" s="20">
        <f>IFERROR(__xludf.DUMMYFUNCTION("""COMPUTED_VALUE"""),0.4091221428571428)</f>
        <v>0.4091221429</v>
      </c>
      <c r="F1004" s="20">
        <f>IFERROR(__xludf.DUMMYFUNCTION("""COMPUTED_VALUE"""),0.41534151785714285)</f>
        <v>0.4153415179</v>
      </c>
      <c r="G1004" s="20"/>
      <c r="H1004" s="23"/>
      <c r="J1004" s="22"/>
    </row>
    <row r="1005">
      <c r="A1005" s="24">
        <f>IFERROR(__xludf.DUMMYFUNCTION("""COMPUTED_VALUE"""),45565.0)</f>
        <v>45565</v>
      </c>
      <c r="B1005" s="20">
        <f>IFERROR(__xludf.DUMMYFUNCTION("""COMPUTED_VALUE"""),0.5148150000000001)</f>
        <v>0.514815</v>
      </c>
      <c r="C1005" s="21">
        <f>IFERROR(__xludf.DUMMYFUNCTION("""COMPUTED_VALUE"""),0.4375)</f>
        <v>0.4375</v>
      </c>
      <c r="D1005" s="25">
        <f>IFERROR(__xludf.DUMMYFUNCTION("""COMPUTED_VALUE"""),0.6645)</f>
        <v>0.6645</v>
      </c>
      <c r="E1005" s="20">
        <f>IFERROR(__xludf.DUMMYFUNCTION("""COMPUTED_VALUE"""),0.41378428571428566)</f>
        <v>0.4137842857</v>
      </c>
      <c r="F1005" s="20">
        <f>IFERROR(__xludf.DUMMYFUNCTION("""COMPUTED_VALUE"""),0.41791028214285714)</f>
        <v>0.4179102821</v>
      </c>
      <c r="G1005" s="20"/>
      <c r="H1005" s="23"/>
      <c r="J1005" s="22"/>
    </row>
    <row r="1006">
      <c r="A1006" s="24">
        <f>IFERROR(__xludf.DUMMYFUNCTION("""COMPUTED_VALUE"""),45566.0)</f>
        <v>45566</v>
      </c>
      <c r="B1006" s="20">
        <f>IFERROR(__xludf.DUMMYFUNCTION("""COMPUTED_VALUE"""),0.5148150000000001)</f>
        <v>0.514815</v>
      </c>
      <c r="C1006" s="21">
        <f>IFERROR(__xludf.DUMMYFUNCTION("""COMPUTED_VALUE"""),0.4375)</f>
        <v>0.4375</v>
      </c>
      <c r="D1006" s="25">
        <f>IFERROR(__xludf.DUMMYFUNCTION("""COMPUTED_VALUE"""),0.6645)</f>
        <v>0.6645</v>
      </c>
      <c r="E1006" s="20">
        <f>IFERROR(__xludf.DUMMYFUNCTION("""COMPUTED_VALUE"""),0.41814071428571425)</f>
        <v>0.4181407143</v>
      </c>
      <c r="F1006" s="20">
        <f>IFERROR(__xludf.DUMMYFUNCTION("""COMPUTED_VALUE"""),0.4215200035714286)</f>
        <v>0.4215200036</v>
      </c>
      <c r="G1006" s="20"/>
      <c r="H1006" s="23"/>
      <c r="J1006" s="22"/>
    </row>
    <row r="1007">
      <c r="A1007" s="24">
        <f>IFERROR(__xludf.DUMMYFUNCTION("""COMPUTED_VALUE"""),45567.0)</f>
        <v>45567</v>
      </c>
      <c r="B1007" s="20">
        <f>IFERROR(__xludf.DUMMYFUNCTION("""COMPUTED_VALUE"""),0.5148150000000001)</f>
        <v>0.514815</v>
      </c>
      <c r="C1007" s="21">
        <f>IFERROR(__xludf.DUMMYFUNCTION("""COMPUTED_VALUE"""),0.4375)</f>
        <v>0.4375</v>
      </c>
      <c r="D1007" s="25">
        <f>IFERROR(__xludf.DUMMYFUNCTION("""COMPUTED_VALUE"""),0.6645)</f>
        <v>0.6645</v>
      </c>
      <c r="E1007" s="20">
        <f>IFERROR(__xludf.DUMMYFUNCTION("""COMPUTED_VALUE"""),0.4216564285714286)</f>
        <v>0.4216564286</v>
      </c>
      <c r="F1007" s="20">
        <f>IFERROR(__xludf.DUMMYFUNCTION("""COMPUTED_VALUE"""),0.42289189642857156)</f>
        <v>0.4228918964</v>
      </c>
      <c r="G1007" s="20"/>
      <c r="H1007" s="23"/>
      <c r="J1007" s="22"/>
    </row>
    <row r="1008">
      <c r="A1008" s="24">
        <f>IFERROR(__xludf.DUMMYFUNCTION("""COMPUTED_VALUE"""),45568.0)</f>
        <v>45568</v>
      </c>
      <c r="B1008" s="20">
        <f>IFERROR(__xludf.DUMMYFUNCTION("""COMPUTED_VALUE"""),0.5148150000000001)</f>
        <v>0.514815</v>
      </c>
      <c r="C1008" s="21">
        <f>IFERROR(__xludf.DUMMYFUNCTION("""COMPUTED_VALUE"""),0.4375)</f>
        <v>0.4375</v>
      </c>
      <c r="D1008" s="25">
        <f>IFERROR(__xludf.DUMMYFUNCTION("""COMPUTED_VALUE"""),0.6645)</f>
        <v>0.6645</v>
      </c>
      <c r="E1008" s="20">
        <f>IFERROR(__xludf.DUMMYFUNCTION("""COMPUTED_VALUE"""),0.4255542857142857)</f>
        <v>0.4255542857</v>
      </c>
      <c r="F1008" s="20">
        <f>IFERROR(__xludf.DUMMYFUNCTION("""COMPUTED_VALUE"""),0.42477968214285716)</f>
        <v>0.4247796821</v>
      </c>
      <c r="G1008" s="20"/>
      <c r="H1008" s="23"/>
      <c r="J1008" s="22"/>
    </row>
    <row r="1009">
      <c r="A1009" s="24">
        <f>IFERROR(__xludf.DUMMYFUNCTION("""COMPUTED_VALUE"""),45569.0)</f>
        <v>45569</v>
      </c>
      <c r="B1009" s="20">
        <f>IFERROR(__xludf.DUMMYFUNCTION("""COMPUTED_VALUE"""),0.5148150000000001)</f>
        <v>0.514815</v>
      </c>
      <c r="C1009" s="21">
        <f>IFERROR(__xludf.DUMMYFUNCTION("""COMPUTED_VALUE"""),0.4375)</f>
        <v>0.4375</v>
      </c>
      <c r="D1009" s="25">
        <f>IFERROR(__xludf.DUMMYFUNCTION("""COMPUTED_VALUE"""),0.6645)</f>
        <v>0.6645</v>
      </c>
      <c r="E1009" s="20">
        <f>IFERROR(__xludf.DUMMYFUNCTION("""COMPUTED_VALUE"""),0.4279235714285714)</f>
        <v>0.4279235714</v>
      </c>
      <c r="F1009" s="20">
        <f>IFERROR(__xludf.DUMMYFUNCTION("""COMPUTED_VALUE"""),0.42795032142857137)</f>
        <v>0.4279503214</v>
      </c>
      <c r="G1009" s="20"/>
      <c r="H1009" s="23"/>
      <c r="J1009" s="22"/>
    </row>
    <row r="1010">
      <c r="A1010" s="24">
        <f>IFERROR(__xludf.DUMMYFUNCTION("""COMPUTED_VALUE"""),45570.0)</f>
        <v>45570</v>
      </c>
      <c r="B1010" s="20">
        <f>IFERROR(__xludf.DUMMYFUNCTION("""COMPUTED_VALUE"""),0.5148150000000001)</f>
        <v>0.514815</v>
      </c>
      <c r="C1010" s="21">
        <f>IFERROR(__xludf.DUMMYFUNCTION("""COMPUTED_VALUE"""),0.4375)</f>
        <v>0.4375</v>
      </c>
      <c r="D1010" s="25">
        <f>IFERROR(__xludf.DUMMYFUNCTION("""COMPUTED_VALUE"""),0.6645)</f>
        <v>0.6645</v>
      </c>
      <c r="E1010" s="20">
        <f>IFERROR(__xludf.DUMMYFUNCTION("""COMPUTED_VALUE"""),0.4315157142857143)</f>
        <v>0.4315157143</v>
      </c>
      <c r="F1010" s="20">
        <f>IFERROR(__xludf.DUMMYFUNCTION("""COMPUTED_VALUE"""),0.4311209607142857)</f>
        <v>0.4311209607</v>
      </c>
      <c r="G1010" s="20"/>
      <c r="H1010" s="23"/>
      <c r="J1010" s="22"/>
    </row>
    <row r="1011">
      <c r="A1011" s="24">
        <f>IFERROR(__xludf.DUMMYFUNCTION("""COMPUTED_VALUE"""),45571.0)</f>
        <v>45571</v>
      </c>
      <c r="B1011" s="20">
        <f>IFERROR(__xludf.DUMMYFUNCTION("""COMPUTED_VALUE"""),0.5148150000000001)</f>
        <v>0.514815</v>
      </c>
      <c r="C1011" s="21">
        <f>IFERROR(__xludf.DUMMYFUNCTION("""COMPUTED_VALUE"""),0.4375)</f>
        <v>0.4375</v>
      </c>
      <c r="D1011" s="25">
        <f>IFERROR(__xludf.DUMMYFUNCTION("""COMPUTED_VALUE"""),0.6645)</f>
        <v>0.6645</v>
      </c>
      <c r="E1011" s="20">
        <f>IFERROR(__xludf.DUMMYFUNCTION("""COMPUTED_VALUE"""),0.4351078571428571)</f>
        <v>0.4351078571</v>
      </c>
      <c r="F1011" s="20">
        <f>IFERROR(__xludf.DUMMYFUNCTION("""COMPUTED_VALUE"""),0.4342915999999999)</f>
        <v>0.4342916</v>
      </c>
      <c r="G1011" s="20"/>
      <c r="H1011" s="23"/>
      <c r="J1011" s="22"/>
    </row>
    <row r="1012">
      <c r="A1012" s="24">
        <f>IFERROR(__xludf.DUMMYFUNCTION("""COMPUTED_VALUE"""),45572.0)</f>
        <v>45572</v>
      </c>
      <c r="B1012" s="20">
        <f>IFERROR(__xludf.DUMMYFUNCTION("""COMPUTED_VALUE"""),0.5148150000000001)</f>
        <v>0.514815</v>
      </c>
      <c r="C1012" s="21">
        <f>IFERROR(__xludf.DUMMYFUNCTION("""COMPUTED_VALUE"""),0.4375)</f>
        <v>0.4375</v>
      </c>
      <c r="D1012" s="25">
        <f>IFERROR(__xludf.DUMMYFUNCTION("""COMPUTED_VALUE"""),0.6645)</f>
        <v>0.6645</v>
      </c>
      <c r="E1012" s="20">
        <f>IFERROR(__xludf.DUMMYFUNCTION("""COMPUTED_VALUE"""),0.4386235714285714)</f>
        <v>0.4386235714</v>
      </c>
      <c r="F1012" s="20">
        <f>IFERROR(__xludf.DUMMYFUNCTION("""COMPUTED_VALUE"""),0.43620651785714276)</f>
        <v>0.4362065179</v>
      </c>
      <c r="G1012" s="20"/>
      <c r="H1012" s="23"/>
      <c r="J1012" s="22"/>
    </row>
    <row r="1013">
      <c r="A1013" s="24">
        <f>IFERROR(__xludf.DUMMYFUNCTION("""COMPUTED_VALUE"""),45573.0)</f>
        <v>45573</v>
      </c>
      <c r="B1013" s="20">
        <f>IFERROR(__xludf.DUMMYFUNCTION("""COMPUTED_VALUE"""),0.5148150000000001)</f>
        <v>0.514815</v>
      </c>
      <c r="C1013" s="21">
        <f>IFERROR(__xludf.DUMMYFUNCTION("""COMPUTED_VALUE"""),0.4375)</f>
        <v>0.4375</v>
      </c>
      <c r="D1013" s="25">
        <f>IFERROR(__xludf.DUMMYFUNCTION("""COMPUTED_VALUE"""),0.6645)</f>
        <v>0.6645</v>
      </c>
      <c r="E1013" s="20">
        <f>IFERROR(__xludf.DUMMYFUNCTION("""COMPUTED_VALUE"""),0.43808857142857144)</f>
        <v>0.4380885714</v>
      </c>
      <c r="F1013" s="20">
        <f>IFERROR(__xludf.DUMMYFUNCTION("""COMPUTED_VALUE"""),0.4362898249999999)</f>
        <v>0.436289825</v>
      </c>
      <c r="G1013" s="20"/>
      <c r="H1013" s="23"/>
      <c r="J1013" s="22"/>
    </row>
    <row r="1014">
      <c r="A1014" s="24">
        <f>IFERROR(__xludf.DUMMYFUNCTION("""COMPUTED_VALUE"""),45574.0)</f>
        <v>45574</v>
      </c>
      <c r="B1014" s="20">
        <f>IFERROR(__xludf.DUMMYFUNCTION("""COMPUTED_VALUE"""),0.5148150000000001)</f>
        <v>0.514815</v>
      </c>
      <c r="C1014" s="21">
        <f>IFERROR(__xludf.DUMMYFUNCTION("""COMPUTED_VALUE"""),0.4375)</f>
        <v>0.4375</v>
      </c>
      <c r="D1014" s="25">
        <f>IFERROR(__xludf.DUMMYFUNCTION("""COMPUTED_VALUE"""),0.6645)</f>
        <v>0.6645</v>
      </c>
      <c r="E1014" s="20">
        <f>IFERROR(__xludf.DUMMYFUNCTION("""COMPUTED_VALUE"""),0.43686571428571425)</f>
        <v>0.4368657143</v>
      </c>
      <c r="F1014" s="20">
        <f>IFERROR(__xludf.DUMMYFUNCTION("""COMPUTED_VALUE"""),0.4356134321428571)</f>
        <v>0.4356134321</v>
      </c>
      <c r="G1014" s="20"/>
      <c r="H1014" s="23"/>
      <c r="J1014" s="22"/>
    </row>
    <row r="1015">
      <c r="A1015" s="24">
        <f>IFERROR(__xludf.DUMMYFUNCTION("""COMPUTED_VALUE"""),45575.0)</f>
        <v>45575</v>
      </c>
      <c r="B1015" s="20">
        <f>IFERROR(__xludf.DUMMYFUNCTION("""COMPUTED_VALUE"""),0.5148150000000001)</f>
        <v>0.514815</v>
      </c>
      <c r="C1015" s="21">
        <f>IFERROR(__xludf.DUMMYFUNCTION("""COMPUTED_VALUE"""),0.4375)</f>
        <v>0.4375</v>
      </c>
      <c r="D1015" s="25">
        <f>IFERROR(__xludf.DUMMYFUNCTION("""COMPUTED_VALUE"""),0.6645)</f>
        <v>0.6645</v>
      </c>
      <c r="E1015" s="20">
        <f>IFERROR(__xludf.DUMMYFUNCTION("""COMPUTED_VALUE"""),0.43189785714285717)</f>
        <v>0.4318978571</v>
      </c>
      <c r="F1015" s="20">
        <f>IFERROR(__xludf.DUMMYFUNCTION("""COMPUTED_VALUE"""),0.4359382535714285)</f>
        <v>0.4359382536</v>
      </c>
      <c r="G1015" s="20"/>
      <c r="H1015" s="23"/>
      <c r="J1015" s="22"/>
    </row>
    <row r="1016">
      <c r="A1016" s="24">
        <f>IFERROR(__xludf.DUMMYFUNCTION("""COMPUTED_VALUE"""),45576.0)</f>
        <v>45576</v>
      </c>
      <c r="B1016" s="20">
        <f>IFERROR(__xludf.DUMMYFUNCTION("""COMPUTED_VALUE"""),0.5148150000000001)</f>
        <v>0.514815</v>
      </c>
      <c r="C1016" s="21">
        <f>IFERROR(__xludf.DUMMYFUNCTION("""COMPUTED_VALUE"""),0.4375)</f>
        <v>0.4375</v>
      </c>
      <c r="D1016" s="25">
        <f>IFERROR(__xludf.DUMMYFUNCTION("""COMPUTED_VALUE"""),0.6645)</f>
        <v>0.6645</v>
      </c>
      <c r="E1016" s="20">
        <f>IFERROR(__xludf.DUMMYFUNCTION("""COMPUTED_VALUE"""),0.4292228571428571)</f>
        <v>0.4292228571</v>
      </c>
      <c r="F1016" s="20">
        <f>IFERROR(__xludf.DUMMYFUNCTION("""COMPUTED_VALUE"""),0.4347715714285714)</f>
        <v>0.4347715714</v>
      </c>
      <c r="G1016" s="20"/>
      <c r="H1016" s="23"/>
      <c r="J1016" s="22"/>
    </row>
    <row r="1017">
      <c r="A1017" s="24">
        <f>IFERROR(__xludf.DUMMYFUNCTION("""COMPUTED_VALUE"""),45577.0)</f>
        <v>45577</v>
      </c>
      <c r="B1017" s="20">
        <f>IFERROR(__xludf.DUMMYFUNCTION("""COMPUTED_VALUE"""),0.5148150000000001)</f>
        <v>0.514815</v>
      </c>
      <c r="C1017" s="21">
        <f>IFERROR(__xludf.DUMMYFUNCTION("""COMPUTED_VALUE"""),0.4375)</f>
        <v>0.4375</v>
      </c>
      <c r="D1017" s="25">
        <f>IFERROR(__xludf.DUMMYFUNCTION("""COMPUTED_VALUE"""),0.6645)</f>
        <v>0.6645</v>
      </c>
      <c r="E1017" s="20">
        <f>IFERROR(__xludf.DUMMYFUNCTION("""COMPUTED_VALUE"""),0.42586)</f>
        <v>0.42586</v>
      </c>
      <c r="F1017" s="20">
        <f>IFERROR(__xludf.DUMMYFUNCTION("""COMPUTED_VALUE"""),0.4336048892857142)</f>
        <v>0.4336048893</v>
      </c>
      <c r="G1017" s="20"/>
      <c r="H1017" s="23"/>
      <c r="J1017" s="22"/>
    </row>
    <row r="1018">
      <c r="A1018" s="24">
        <f>IFERROR(__xludf.DUMMYFUNCTION("""COMPUTED_VALUE"""),45578.0)</f>
        <v>45578</v>
      </c>
      <c r="B1018" s="20">
        <f>IFERROR(__xludf.DUMMYFUNCTION("""COMPUTED_VALUE"""),0.5148150000000001)</f>
        <v>0.514815</v>
      </c>
      <c r="C1018" s="21">
        <f>IFERROR(__xludf.DUMMYFUNCTION("""COMPUTED_VALUE"""),0.4375)</f>
        <v>0.4375</v>
      </c>
      <c r="D1018" s="25">
        <f>IFERROR(__xludf.DUMMYFUNCTION("""COMPUTED_VALUE"""),0.6645)</f>
        <v>0.6645</v>
      </c>
      <c r="E1018" s="20">
        <f>IFERROR(__xludf.DUMMYFUNCTION("""COMPUTED_VALUE"""),0.42249714285714285)</f>
        <v>0.4224971429</v>
      </c>
      <c r="F1018" s="20">
        <f>IFERROR(__xludf.DUMMYFUNCTION("""COMPUTED_VALUE"""),0.4324382071428571)</f>
        <v>0.4324382071</v>
      </c>
      <c r="G1018" s="20"/>
      <c r="H1018" s="23"/>
      <c r="J1018" s="22"/>
    </row>
    <row r="1019">
      <c r="A1019" s="24">
        <f>IFERROR(__xludf.DUMMYFUNCTION("""COMPUTED_VALUE"""),45579.0)</f>
        <v>45579</v>
      </c>
      <c r="B1019" s="20">
        <f>IFERROR(__xludf.DUMMYFUNCTION("""COMPUTED_VALUE"""),0.50753)</f>
        <v>0.50753</v>
      </c>
      <c r="C1019" s="21">
        <f>IFERROR(__xludf.DUMMYFUNCTION("""COMPUTED_VALUE"""),0.4225)</f>
        <v>0.4225</v>
      </c>
      <c r="D1019" s="25">
        <f>IFERROR(__xludf.DUMMYFUNCTION("""COMPUTED_VALUE"""),0.5974999999999999)</f>
        <v>0.5975</v>
      </c>
      <c r="E1019" s="20">
        <f>IFERROR(__xludf.DUMMYFUNCTION("""COMPUTED_VALUE"""),0.4198985714285714)</f>
        <v>0.4198985714</v>
      </c>
      <c r="F1019" s="20">
        <f>IFERROR(__xludf.DUMMYFUNCTION("""COMPUTED_VALUE"""),0.4328172928571429)</f>
        <v>0.4328172929</v>
      </c>
      <c r="G1019" s="20"/>
      <c r="H1019" s="23"/>
      <c r="J1019" s="22"/>
    </row>
    <row r="1020">
      <c r="A1020" s="24">
        <f>IFERROR(__xludf.DUMMYFUNCTION("""COMPUTED_VALUE"""),45580.0)</f>
        <v>45580</v>
      </c>
      <c r="B1020" s="20">
        <f>IFERROR(__xludf.DUMMYFUNCTION("""COMPUTED_VALUE"""),0.50753)</f>
        <v>0.50753</v>
      </c>
      <c r="C1020" s="21">
        <f>IFERROR(__xludf.DUMMYFUNCTION("""COMPUTED_VALUE"""),0.4225)</f>
        <v>0.4225</v>
      </c>
      <c r="D1020" s="25">
        <f>IFERROR(__xludf.DUMMYFUNCTION("""COMPUTED_VALUE"""),0.5974999999999999)</f>
        <v>0.5975</v>
      </c>
      <c r="E1020" s="20">
        <f>IFERROR(__xludf.DUMMYFUNCTION("""COMPUTED_VALUE"""),0.4193635714285714)</f>
        <v>0.4193635714</v>
      </c>
      <c r="F1020" s="20">
        <f>IFERROR(__xludf.DUMMYFUNCTION("""COMPUTED_VALUE"""),0.4337638607142857)</f>
        <v>0.4337638607</v>
      </c>
      <c r="G1020" s="20"/>
      <c r="H1020" s="23"/>
      <c r="J1020" s="22"/>
    </row>
    <row r="1021">
      <c r="A1021" s="24">
        <f>IFERROR(__xludf.DUMMYFUNCTION("""COMPUTED_VALUE"""),45581.0)</f>
        <v>45581</v>
      </c>
      <c r="B1021" s="20">
        <f>IFERROR(__xludf.DUMMYFUNCTION("""COMPUTED_VALUE"""),0.50753)</f>
        <v>0.50753</v>
      </c>
      <c r="C1021" s="21">
        <f>IFERROR(__xludf.DUMMYFUNCTION("""COMPUTED_VALUE"""),0.4225)</f>
        <v>0.4225</v>
      </c>
      <c r="D1021" s="25">
        <f>IFERROR(__xludf.DUMMYFUNCTION("""COMPUTED_VALUE"""),0.5974999999999999)</f>
        <v>0.5975</v>
      </c>
      <c r="E1021" s="20">
        <f>IFERROR(__xludf.DUMMYFUNCTION("""COMPUTED_VALUE"""),0.42173285714285713)</f>
        <v>0.4217328571</v>
      </c>
      <c r="F1021" s="20">
        <f>IFERROR(__xludf.DUMMYFUNCTION("""COMPUTED_VALUE"""),0.43495958571428567)</f>
        <v>0.4349595857</v>
      </c>
      <c r="G1021" s="20"/>
      <c r="H1021" s="23"/>
      <c r="J1021" s="22"/>
    </row>
    <row r="1022">
      <c r="A1022" s="24">
        <f>IFERROR(__xludf.DUMMYFUNCTION("""COMPUTED_VALUE"""),45582.0)</f>
        <v>45582</v>
      </c>
      <c r="B1022" s="20">
        <f>IFERROR(__xludf.DUMMYFUNCTION("""COMPUTED_VALUE"""),0.50753)</f>
        <v>0.50753</v>
      </c>
      <c r="C1022" s="21">
        <f>IFERROR(__xludf.DUMMYFUNCTION("""COMPUTED_VALUE"""),0.4225)</f>
        <v>0.4225</v>
      </c>
      <c r="D1022" s="25">
        <f>IFERROR(__xludf.DUMMYFUNCTION("""COMPUTED_VALUE"""),0.5974999999999999)</f>
        <v>0.5975</v>
      </c>
      <c r="E1022" s="20">
        <f>IFERROR(__xludf.DUMMYFUNCTION("""COMPUTED_VALUE"""),0.4267007142857143)</f>
        <v>0.4267007143</v>
      </c>
      <c r="F1022" s="20">
        <f>IFERROR(__xludf.DUMMYFUNCTION("""COMPUTED_VALUE"""),0.43414638571428565)</f>
        <v>0.4341463857</v>
      </c>
      <c r="G1022" s="20"/>
      <c r="H1022" s="23"/>
      <c r="J1022" s="22"/>
    </row>
    <row r="1023">
      <c r="A1023" s="24">
        <f>IFERROR(__xludf.DUMMYFUNCTION("""COMPUTED_VALUE"""),45583.0)</f>
        <v>45583</v>
      </c>
      <c r="B1023" s="20">
        <f>IFERROR(__xludf.DUMMYFUNCTION("""COMPUTED_VALUE"""),0.50753)</f>
        <v>0.50753</v>
      </c>
      <c r="C1023" s="21">
        <f>IFERROR(__xludf.DUMMYFUNCTION("""COMPUTED_VALUE"""),0.4225)</f>
        <v>0.4225</v>
      </c>
      <c r="D1023" s="25">
        <f>IFERROR(__xludf.DUMMYFUNCTION("""COMPUTED_VALUE"""),0.5974999999999999)</f>
        <v>0.5975</v>
      </c>
      <c r="E1023" s="20">
        <f>IFERROR(__xludf.DUMMYFUNCTION("""COMPUTED_VALUE"""),0.42906999999999995)</f>
        <v>0.42907</v>
      </c>
      <c r="F1023" s="20">
        <f>IFERROR(__xludf.DUMMYFUNCTION("""COMPUTED_VALUE"""),0.4332040214285714)</f>
        <v>0.4332040214</v>
      </c>
      <c r="G1023" s="20"/>
      <c r="H1023" s="23"/>
      <c r="J1023" s="22"/>
    </row>
    <row r="1024">
      <c r="A1024" s="24">
        <f>IFERROR(__xludf.DUMMYFUNCTION("""COMPUTED_VALUE"""),45584.0)</f>
        <v>45584</v>
      </c>
      <c r="B1024" s="20">
        <f>IFERROR(__xludf.DUMMYFUNCTION("""COMPUTED_VALUE"""),0.50753)</f>
        <v>0.50753</v>
      </c>
      <c r="C1024" s="21">
        <f>IFERROR(__xludf.DUMMYFUNCTION("""COMPUTED_VALUE"""),0.4225)</f>
        <v>0.4225</v>
      </c>
      <c r="D1024" s="25">
        <f>IFERROR(__xludf.DUMMYFUNCTION("""COMPUTED_VALUE"""),0.5974999999999999)</f>
        <v>0.5975</v>
      </c>
      <c r="E1024" s="20">
        <f>IFERROR(__xludf.DUMMYFUNCTION("""COMPUTED_VALUE"""),0.4298342857142857)</f>
        <v>0.4298342857</v>
      </c>
      <c r="F1024" s="20">
        <f>IFERROR(__xludf.DUMMYFUNCTION("""COMPUTED_VALUE"""),0.43226165714285714)</f>
        <v>0.4322616571</v>
      </c>
      <c r="G1024" s="20"/>
      <c r="H1024" s="23"/>
      <c r="J1024" s="22"/>
    </row>
    <row r="1025">
      <c r="A1025" s="24">
        <f>IFERROR(__xludf.DUMMYFUNCTION("""COMPUTED_VALUE"""),45585.0)</f>
        <v>45585</v>
      </c>
      <c r="B1025" s="20">
        <f>IFERROR(__xludf.DUMMYFUNCTION("""COMPUTED_VALUE"""),0.50753)</f>
        <v>0.50753</v>
      </c>
      <c r="C1025" s="21">
        <f>IFERROR(__xludf.DUMMYFUNCTION("""COMPUTED_VALUE"""),0.4225)</f>
        <v>0.4225</v>
      </c>
      <c r="D1025" s="25">
        <f>IFERROR(__xludf.DUMMYFUNCTION("""COMPUTED_VALUE"""),0.5974999999999999)</f>
        <v>0.5975</v>
      </c>
      <c r="E1025" s="20">
        <f>IFERROR(__xludf.DUMMYFUNCTION("""COMPUTED_VALUE"""),0.4305985714285714)</f>
        <v>0.4305985714</v>
      </c>
      <c r="F1025" s="20">
        <f>IFERROR(__xludf.DUMMYFUNCTION("""COMPUTED_VALUE"""),0.4313192928571429)</f>
        <v>0.4313192929</v>
      </c>
      <c r="G1025" s="20"/>
      <c r="H1025" s="23"/>
      <c r="J1025" s="22"/>
    </row>
    <row r="1026">
      <c r="A1026" s="24">
        <f>IFERROR(__xludf.DUMMYFUNCTION("""COMPUTED_VALUE"""),45586.0)</f>
        <v>45586</v>
      </c>
      <c r="B1026" s="20">
        <f>IFERROR(__xludf.DUMMYFUNCTION("""COMPUTED_VALUE"""),0.50753)</f>
        <v>0.50753</v>
      </c>
      <c r="C1026" s="21">
        <f>IFERROR(__xludf.DUMMYFUNCTION("""COMPUTED_VALUE"""),0.4225)</f>
        <v>0.4225</v>
      </c>
      <c r="D1026" s="25">
        <f>IFERROR(__xludf.DUMMYFUNCTION("""COMPUTED_VALUE"""),0.5974999999999999)</f>
        <v>0.5975</v>
      </c>
      <c r="E1026" s="20">
        <f>IFERROR(__xludf.DUMMYFUNCTION("""COMPUTED_VALUE"""),0.4314392857142857)</f>
        <v>0.4314392857</v>
      </c>
      <c r="F1026" s="20">
        <f>IFERROR(__xludf.DUMMYFUNCTION("""COMPUTED_VALUE"""),0.43037119642857136)</f>
        <v>0.4303711964</v>
      </c>
      <c r="G1026" s="20"/>
      <c r="H1026" s="23"/>
      <c r="J1026" s="22"/>
    </row>
    <row r="1027">
      <c r="A1027" s="24">
        <f>IFERROR(__xludf.DUMMYFUNCTION("""COMPUTED_VALUE"""),45587.0)</f>
        <v>45587</v>
      </c>
      <c r="B1027" s="20">
        <f>IFERROR(__xludf.DUMMYFUNCTION("""COMPUTED_VALUE"""),0.50753)</f>
        <v>0.50753</v>
      </c>
      <c r="C1027" s="21">
        <f>IFERROR(__xludf.DUMMYFUNCTION("""COMPUTED_VALUE"""),0.4225)</f>
        <v>0.4225</v>
      </c>
      <c r="D1027" s="25">
        <f>IFERROR(__xludf.DUMMYFUNCTION("""COMPUTED_VALUE"""),0.5974999999999999)</f>
        <v>0.5975</v>
      </c>
      <c r="E1027" s="20">
        <f>IFERROR(__xludf.DUMMYFUNCTION("""COMPUTED_VALUE"""),0.43289142857142854)</f>
        <v>0.4328914286</v>
      </c>
      <c r="F1027" s="20">
        <f>IFERROR(__xludf.DUMMYFUNCTION("""COMPUTED_VALUE"""),0.4313995428571428)</f>
        <v>0.4313995429</v>
      </c>
      <c r="G1027" s="20"/>
      <c r="H1027" s="23"/>
      <c r="J1027" s="22"/>
    </row>
    <row r="1028">
      <c r="A1028" s="24">
        <f>IFERROR(__xludf.DUMMYFUNCTION("""COMPUTED_VALUE"""),45588.0)</f>
        <v>45588</v>
      </c>
      <c r="B1028" s="20">
        <f>IFERROR(__xludf.DUMMYFUNCTION("""COMPUTED_VALUE"""),0.50753)</f>
        <v>0.50753</v>
      </c>
      <c r="C1028" s="21">
        <f>IFERROR(__xludf.DUMMYFUNCTION("""COMPUTED_VALUE"""),0.4225)</f>
        <v>0.4225</v>
      </c>
      <c r="D1028" s="25">
        <f>IFERROR(__xludf.DUMMYFUNCTION("""COMPUTED_VALUE"""),0.5974999999999999)</f>
        <v>0.5975</v>
      </c>
      <c r="E1028" s="20">
        <f>IFERROR(__xludf.DUMMYFUNCTION("""COMPUTED_VALUE"""),0.43373214285714284)</f>
        <v>0.4337321429</v>
      </c>
      <c r="F1028" s="20">
        <f>IFERROR(__xludf.DUMMYFUNCTION("""COMPUTED_VALUE"""),0.43399620357142854)</f>
        <v>0.4339962036</v>
      </c>
      <c r="G1028" s="20"/>
      <c r="H1028" s="23"/>
      <c r="J1028" s="22"/>
    </row>
    <row r="1029">
      <c r="A1029" s="24">
        <f>IFERROR(__xludf.DUMMYFUNCTION("""COMPUTED_VALUE"""),45589.0)</f>
        <v>45589</v>
      </c>
      <c r="B1029" s="20">
        <f>IFERROR(__xludf.DUMMYFUNCTION("""COMPUTED_VALUE"""),0.50753)</f>
        <v>0.50753</v>
      </c>
      <c r="C1029" s="21">
        <f>IFERROR(__xludf.DUMMYFUNCTION("""COMPUTED_VALUE"""),0.4225)</f>
        <v>0.4225</v>
      </c>
      <c r="D1029" s="25">
        <f>IFERROR(__xludf.DUMMYFUNCTION("""COMPUTED_VALUE"""),0.5974999999999999)</f>
        <v>0.5975</v>
      </c>
      <c r="E1029" s="20">
        <f>IFERROR(__xludf.DUMMYFUNCTION("""COMPUTED_VALUE"""),0.4353371428571428)</f>
        <v>0.4353371429</v>
      </c>
      <c r="F1029" s="20">
        <f>IFERROR(__xludf.DUMMYFUNCTION("""COMPUTED_VALUE"""),0.43741256071428575)</f>
        <v>0.4374125607</v>
      </c>
      <c r="G1029" s="20"/>
      <c r="H1029" s="23"/>
      <c r="J1029" s="22"/>
    </row>
    <row r="1030">
      <c r="A1030" s="24">
        <f>IFERROR(__xludf.DUMMYFUNCTION("""COMPUTED_VALUE"""),45590.0)</f>
        <v>45590</v>
      </c>
      <c r="B1030" s="20">
        <f>IFERROR(__xludf.DUMMYFUNCTION("""COMPUTED_VALUE"""),0.50753)</f>
        <v>0.50753</v>
      </c>
      <c r="C1030" s="21">
        <f>IFERROR(__xludf.DUMMYFUNCTION("""COMPUTED_VALUE"""),0.4225)</f>
        <v>0.4225</v>
      </c>
      <c r="D1030" s="25">
        <f>IFERROR(__xludf.DUMMYFUNCTION("""COMPUTED_VALUE"""),0.5974999999999999)</f>
        <v>0.5975</v>
      </c>
      <c r="E1030" s="20">
        <f>IFERROR(__xludf.DUMMYFUNCTION("""COMPUTED_VALUE"""),0.4394642857142857)</f>
        <v>0.4394642857</v>
      </c>
      <c r="F1030" s="20">
        <f>IFERROR(__xludf.DUMMYFUNCTION("""COMPUTED_VALUE"""),0.4427121178571428)</f>
        <v>0.4427121179</v>
      </c>
      <c r="G1030" s="20"/>
      <c r="H1030" s="23"/>
      <c r="J1030" s="22"/>
    </row>
    <row r="1031">
      <c r="A1031" s="24">
        <f>IFERROR(__xludf.DUMMYFUNCTION("""COMPUTED_VALUE"""),45591.0)</f>
        <v>45591</v>
      </c>
      <c r="B1031" s="20">
        <f>IFERROR(__xludf.DUMMYFUNCTION("""COMPUTED_VALUE"""),0.50753)</f>
        <v>0.50753</v>
      </c>
      <c r="C1031" s="21">
        <f>IFERROR(__xludf.DUMMYFUNCTION("""COMPUTED_VALUE"""),0.4225)</f>
        <v>0.4225</v>
      </c>
      <c r="D1031" s="25">
        <f>IFERROR(__xludf.DUMMYFUNCTION("""COMPUTED_VALUE"""),0.5974999999999999)</f>
        <v>0.5975</v>
      </c>
      <c r="E1031" s="20">
        <f>IFERROR(__xludf.DUMMYFUNCTION("""COMPUTED_VALUE"""),0.44450857142857136)</f>
        <v>0.4445085714</v>
      </c>
      <c r="F1031" s="20">
        <f>IFERROR(__xludf.DUMMYFUNCTION("""COMPUTED_VALUE"""),0.44801167499999994)</f>
        <v>0.448011675</v>
      </c>
      <c r="G1031" s="20"/>
      <c r="H1031" s="23"/>
      <c r="J1031" s="22"/>
    </row>
    <row r="1032">
      <c r="A1032" s="24">
        <f>IFERROR(__xludf.DUMMYFUNCTION("""COMPUTED_VALUE"""),45592.0)</f>
        <v>45592</v>
      </c>
      <c r="B1032" s="20">
        <f>IFERROR(__xludf.DUMMYFUNCTION("""COMPUTED_VALUE"""),0.50753)</f>
        <v>0.50753</v>
      </c>
      <c r="C1032" s="21">
        <f>IFERROR(__xludf.DUMMYFUNCTION("""COMPUTED_VALUE"""),0.4225)</f>
        <v>0.4225</v>
      </c>
      <c r="D1032" s="25">
        <f>IFERROR(__xludf.DUMMYFUNCTION("""COMPUTED_VALUE"""),0.5974999999999999)</f>
        <v>0.5975</v>
      </c>
      <c r="E1032" s="20">
        <f>IFERROR(__xludf.DUMMYFUNCTION("""COMPUTED_VALUE"""),0.44955285714285703)</f>
        <v>0.4495528571</v>
      </c>
      <c r="F1032" s="20">
        <f>IFERROR(__xludf.DUMMYFUNCTION("""COMPUTED_VALUE"""),0.4533112321428571)</f>
        <v>0.4533112321</v>
      </c>
      <c r="G1032" s="20"/>
      <c r="H1032" s="23"/>
      <c r="J1032" s="22"/>
    </row>
    <row r="1033">
      <c r="A1033" s="24">
        <f>IFERROR(__xludf.DUMMYFUNCTION("""COMPUTED_VALUE"""),45593.0)</f>
        <v>45593</v>
      </c>
      <c r="B1033" s="20">
        <f>IFERROR(__xludf.DUMMYFUNCTION("""COMPUTED_VALUE"""),0.512605)</f>
        <v>0.512605</v>
      </c>
      <c r="C1033" s="21">
        <f>IFERROR(__xludf.DUMMYFUNCTION("""COMPUTED_VALUE"""),0.4225)</f>
        <v>0.4225</v>
      </c>
      <c r="D1033" s="25">
        <f>IFERROR(__xludf.DUMMYFUNCTION("""COMPUTED_VALUE"""),0.5974999999999999)</f>
        <v>0.5975</v>
      </c>
      <c r="E1033" s="20">
        <f>IFERROR(__xludf.DUMMYFUNCTION("""COMPUTED_VALUE"""),0.4545207142857142)</f>
        <v>0.4545207143</v>
      </c>
      <c r="F1033" s="20">
        <f>IFERROR(__xludf.DUMMYFUNCTION("""COMPUTED_VALUE"""),0.4564161428571428)</f>
        <v>0.4564161429</v>
      </c>
      <c r="G1033" s="20"/>
      <c r="H1033" s="23"/>
      <c r="J1033" s="22"/>
    </row>
    <row r="1034">
      <c r="A1034" s="24">
        <f>IFERROR(__xludf.DUMMYFUNCTION("""COMPUTED_VALUE"""),45594.0)</f>
        <v>45594</v>
      </c>
      <c r="B1034" s="20">
        <f>IFERROR(__xludf.DUMMYFUNCTION("""COMPUTED_VALUE"""),0.512605)</f>
        <v>0.512605</v>
      </c>
      <c r="C1034" s="21">
        <f>IFERROR(__xludf.DUMMYFUNCTION("""COMPUTED_VALUE"""),0.4225)</f>
        <v>0.4225</v>
      </c>
      <c r="D1034" s="25">
        <f>IFERROR(__xludf.DUMMYFUNCTION("""COMPUTED_VALUE"""),0.5974999999999999)</f>
        <v>0.5975</v>
      </c>
      <c r="E1034" s="20">
        <f>IFERROR(__xludf.DUMMYFUNCTION("""COMPUTED_VALUE"""),0.45688999999999996)</f>
        <v>0.45689</v>
      </c>
      <c r="F1034" s="20">
        <f>IFERROR(__xludf.DUMMYFUNCTION("""COMPUTED_VALUE"""),0.4587624999999999)</f>
        <v>0.4587625</v>
      </c>
      <c r="G1034" s="20"/>
      <c r="H1034" s="23"/>
      <c r="J1034" s="22"/>
    </row>
    <row r="1035">
      <c r="A1035" s="24">
        <f>IFERROR(__xludf.DUMMYFUNCTION("""COMPUTED_VALUE"""),45595.0)</f>
        <v>45595</v>
      </c>
      <c r="B1035" s="20">
        <f>IFERROR(__xludf.DUMMYFUNCTION("""COMPUTED_VALUE"""),0.512605)</f>
        <v>0.512605</v>
      </c>
      <c r="C1035" s="21">
        <f>IFERROR(__xludf.DUMMYFUNCTION("""COMPUTED_VALUE"""),0.4225)</f>
        <v>0.4225</v>
      </c>
      <c r="D1035" s="25">
        <f>IFERROR(__xludf.DUMMYFUNCTION("""COMPUTED_VALUE"""),0.5974999999999999)</f>
        <v>0.5975</v>
      </c>
      <c r="E1035" s="20">
        <f>IFERROR(__xludf.DUMMYFUNCTION("""COMPUTED_VALUE"""),0.4602528571428571)</f>
        <v>0.4602528571</v>
      </c>
      <c r="F1035" s="20">
        <f>IFERROR(__xludf.DUMMYFUNCTION("""COMPUTED_VALUE"""),0.458412075)</f>
        <v>0.458412075</v>
      </c>
      <c r="G1035" s="20"/>
      <c r="H1035" s="23"/>
      <c r="J1035" s="22"/>
    </row>
    <row r="1036">
      <c r="A1036" s="24">
        <f>IFERROR(__xludf.DUMMYFUNCTION("""COMPUTED_VALUE"""),45596.0)</f>
        <v>45596</v>
      </c>
      <c r="B1036" s="20">
        <f>IFERROR(__xludf.DUMMYFUNCTION("""COMPUTED_VALUE"""),0.512605)</f>
        <v>0.512605</v>
      </c>
      <c r="C1036" s="21">
        <f>IFERROR(__xludf.DUMMYFUNCTION("""COMPUTED_VALUE"""),0.4225)</f>
        <v>0.4225</v>
      </c>
      <c r="D1036" s="25">
        <f>IFERROR(__xludf.DUMMYFUNCTION("""COMPUTED_VALUE"""),0.5974999999999999)</f>
        <v>0.5975</v>
      </c>
      <c r="E1036" s="20">
        <f>IFERROR(__xludf.DUMMYFUNCTION("""COMPUTED_VALUE"""),0.45994714285714283)</f>
        <v>0.4599471429</v>
      </c>
      <c r="F1036" s="20">
        <f>IFERROR(__xludf.DUMMYFUNCTION("""COMPUTED_VALUE"""),0.4563867178571428)</f>
        <v>0.4563867179</v>
      </c>
      <c r="G1036" s="20"/>
      <c r="H1036" s="23"/>
      <c r="J1036" s="22"/>
    </row>
    <row r="1037">
      <c r="A1037" s="24">
        <f>IFERROR(__xludf.DUMMYFUNCTION("""COMPUTED_VALUE"""),45597.0)</f>
        <v>45597</v>
      </c>
      <c r="B1037" s="20">
        <f>IFERROR(__xludf.DUMMYFUNCTION("""COMPUTED_VALUE"""),0.512605)</f>
        <v>0.512605</v>
      </c>
      <c r="C1037" s="21">
        <f>IFERROR(__xludf.DUMMYFUNCTION("""COMPUTED_VALUE"""),0.4225)</f>
        <v>0.4225</v>
      </c>
      <c r="D1037" s="25">
        <f>IFERROR(__xludf.DUMMYFUNCTION("""COMPUTED_VALUE"""),0.5974999999999999)</f>
        <v>0.5975</v>
      </c>
      <c r="E1037" s="20">
        <f>IFERROR(__xludf.DUMMYFUNCTION("""COMPUTED_VALUE"""),0.45322142857142855)</f>
        <v>0.4532214286</v>
      </c>
      <c r="F1037" s="20">
        <f>IFERROR(__xludf.DUMMYFUNCTION("""COMPUTED_VALUE"""),0.4508494678571429)</f>
        <v>0.4508494679</v>
      </c>
      <c r="G1037" s="20"/>
      <c r="H1037" s="23"/>
      <c r="J1037" s="22"/>
    </row>
    <row r="1038">
      <c r="A1038" s="24">
        <f>IFERROR(__xludf.DUMMYFUNCTION("""COMPUTED_VALUE"""),45598.0)</f>
        <v>45598</v>
      </c>
      <c r="B1038" s="20">
        <f>IFERROR(__xludf.DUMMYFUNCTION("""COMPUTED_VALUE"""),0.512605)</f>
        <v>0.512605</v>
      </c>
      <c r="C1038" s="21">
        <f>IFERROR(__xludf.DUMMYFUNCTION("""COMPUTED_VALUE"""),0.4225)</f>
        <v>0.4225</v>
      </c>
      <c r="D1038" s="25">
        <f>IFERROR(__xludf.DUMMYFUNCTION("""COMPUTED_VALUE"""),0.5974999999999999)</f>
        <v>0.5975</v>
      </c>
      <c r="E1038" s="20">
        <f>IFERROR(__xludf.DUMMYFUNCTION("""COMPUTED_VALUE"""),0.4476421428571428)</f>
        <v>0.4476421429</v>
      </c>
      <c r="F1038" s="20">
        <f>IFERROR(__xludf.DUMMYFUNCTION("""COMPUTED_VALUE"""),0.44531221785714287)</f>
        <v>0.4453122179</v>
      </c>
      <c r="G1038" s="20"/>
      <c r="H1038" s="23"/>
      <c r="J1038" s="22"/>
    </row>
    <row r="1039">
      <c r="A1039" s="24">
        <f>IFERROR(__xludf.DUMMYFUNCTION("""COMPUTED_VALUE"""),45599.0)</f>
        <v>45599</v>
      </c>
      <c r="B1039" s="20">
        <f>IFERROR(__xludf.DUMMYFUNCTION("""COMPUTED_VALUE"""),0.512605)</f>
        <v>0.512605</v>
      </c>
      <c r="C1039" s="21">
        <f>IFERROR(__xludf.DUMMYFUNCTION("""COMPUTED_VALUE"""),0.4225)</f>
        <v>0.4225</v>
      </c>
      <c r="D1039" s="25">
        <f>IFERROR(__xludf.DUMMYFUNCTION("""COMPUTED_VALUE"""),0.5974999999999999)</f>
        <v>0.5975</v>
      </c>
      <c r="E1039" s="20">
        <f>IFERROR(__xludf.DUMMYFUNCTION("""COMPUTED_VALUE"""),0.44206285714285715)</f>
        <v>0.4420628571</v>
      </c>
      <c r="F1039" s="20">
        <f>IFERROR(__xludf.DUMMYFUNCTION("""COMPUTED_VALUE"""),0.43977496785714293)</f>
        <v>0.4397749679</v>
      </c>
      <c r="G1039" s="20"/>
      <c r="H1039" s="23"/>
      <c r="J1039" s="22"/>
    </row>
    <row r="1040">
      <c r="A1040" s="24">
        <f>IFERROR(__xludf.DUMMYFUNCTION("""COMPUTED_VALUE"""),45600.0)</f>
        <v>45600</v>
      </c>
      <c r="B1040" s="20">
        <f>IFERROR(__xludf.DUMMYFUNCTION("""COMPUTED_VALUE"""),0.512605)</f>
        <v>0.512605</v>
      </c>
      <c r="C1040" s="21">
        <f>IFERROR(__xludf.DUMMYFUNCTION("""COMPUTED_VALUE"""),0.4225)</f>
        <v>0.4225</v>
      </c>
      <c r="D1040" s="25">
        <f>IFERROR(__xludf.DUMMYFUNCTION("""COMPUTED_VALUE"""),0.5974999999999999)</f>
        <v>0.5975</v>
      </c>
      <c r="E1040" s="20">
        <f>IFERROR(__xludf.DUMMYFUNCTION("""COMPUTED_VALUE"""),0.43610142857142853)</f>
        <v>0.4361014286</v>
      </c>
      <c r="F1040" s="20">
        <f>IFERROR(__xludf.DUMMYFUNCTION("""COMPUTED_VALUE"""),0.4365951571428572)</f>
        <v>0.4365951571</v>
      </c>
      <c r="G1040" s="20"/>
      <c r="H1040" s="23"/>
      <c r="J1040" s="22"/>
    </row>
    <row r="1041">
      <c r="A1041" s="24">
        <f>IFERROR(__xludf.DUMMYFUNCTION("""COMPUTED_VALUE"""),45601.0)</f>
        <v>45601</v>
      </c>
      <c r="B1041" s="20">
        <f>IFERROR(__xludf.DUMMYFUNCTION("""COMPUTED_VALUE"""),0.512605)</f>
        <v>0.512605</v>
      </c>
      <c r="C1041" s="21">
        <f>IFERROR(__xludf.DUMMYFUNCTION("""COMPUTED_VALUE"""),0.4225)</f>
        <v>0.4225</v>
      </c>
      <c r="D1041" s="25">
        <f>IFERROR(__xludf.DUMMYFUNCTION("""COMPUTED_VALUE"""),0.5974999999999999)</f>
        <v>0.5975</v>
      </c>
      <c r="E1041" s="20">
        <f>IFERROR(__xludf.DUMMYFUNCTION("""COMPUTED_VALUE"""),0.4315157142857143)</f>
        <v>0.4315157143</v>
      </c>
      <c r="F1041" s="20">
        <f>IFERROR(__xludf.DUMMYFUNCTION("""COMPUTED_VALUE"""),0.4334547071428572)</f>
        <v>0.4334547071</v>
      </c>
      <c r="G1041" s="20"/>
      <c r="H1041" s="23"/>
      <c r="J1041" s="22"/>
    </row>
    <row r="1042">
      <c r="A1042" s="24">
        <f>IFERROR(__xludf.DUMMYFUNCTION("""COMPUTED_VALUE"""),45602.0)</f>
        <v>45602</v>
      </c>
      <c r="B1042" s="20">
        <f>IFERROR(__xludf.DUMMYFUNCTION("""COMPUTED_VALUE"""),0.512605)</f>
        <v>0.512605</v>
      </c>
      <c r="C1042" s="21">
        <f>IFERROR(__xludf.DUMMYFUNCTION("""COMPUTED_VALUE"""),0.4225)</f>
        <v>0.4225</v>
      </c>
      <c r="D1042" s="25">
        <f>IFERROR(__xludf.DUMMYFUNCTION("""COMPUTED_VALUE"""),0.5974999999999999)</f>
        <v>0.5975</v>
      </c>
      <c r="E1042" s="20">
        <f>IFERROR(__xludf.DUMMYFUNCTION("""COMPUTED_VALUE"""),0.42754142857142863)</f>
        <v>0.4275414286</v>
      </c>
      <c r="F1042" s="20">
        <f>IFERROR(__xludf.DUMMYFUNCTION("""COMPUTED_VALUE"""),0.4319735214285715)</f>
        <v>0.4319735214</v>
      </c>
      <c r="G1042" s="20"/>
      <c r="H1042" s="20"/>
      <c r="J1042" s="26"/>
    </row>
    <row r="1043">
      <c r="A1043" s="24">
        <f>IFERROR(__xludf.DUMMYFUNCTION("""COMPUTED_VALUE"""),45603.0)</f>
        <v>45603</v>
      </c>
      <c r="B1043" s="20">
        <f>IFERROR(__xludf.DUMMYFUNCTION("""COMPUTED_VALUE"""),0.512605)</f>
        <v>0.512605</v>
      </c>
      <c r="C1043" s="21">
        <f>IFERROR(__xludf.DUMMYFUNCTION("""COMPUTED_VALUE"""),0.4225)</f>
        <v>0.4225</v>
      </c>
      <c r="D1043" s="25">
        <f>IFERROR(__xludf.DUMMYFUNCTION("""COMPUTED_VALUE"""),0.5974999999999999)</f>
        <v>0.5975</v>
      </c>
      <c r="E1043" s="20">
        <f>IFERROR(__xludf.DUMMYFUNCTION("""COMPUTED_VALUE"""),0.4250192857142857)</f>
        <v>0.4250192857</v>
      </c>
      <c r="F1043" s="20">
        <f>IFERROR(__xludf.DUMMYFUNCTION("""COMPUTED_VALUE"""),0.43250661071428576)</f>
        <v>0.4325066107</v>
      </c>
      <c r="G1043" s="20"/>
      <c r="H1043" s="20"/>
      <c r="J1043" s="26"/>
    </row>
    <row r="1044">
      <c r="A1044" s="24">
        <f>IFERROR(__xludf.DUMMYFUNCTION("""COMPUTED_VALUE"""),45604.0)</f>
        <v>45604</v>
      </c>
      <c r="B1044" s="20">
        <f>IFERROR(__xludf.DUMMYFUNCTION("""COMPUTED_VALUE"""),0.512605)</f>
        <v>0.512605</v>
      </c>
      <c r="C1044" s="21">
        <f>IFERROR(__xludf.DUMMYFUNCTION("""COMPUTED_VALUE"""),0.4225)</f>
        <v>0.4225</v>
      </c>
      <c r="D1044" s="25">
        <f>IFERROR(__xludf.DUMMYFUNCTION("""COMPUTED_VALUE"""),0.5974999999999999)</f>
        <v>0.5975</v>
      </c>
      <c r="E1044" s="20">
        <f>IFERROR(__xludf.DUMMYFUNCTION("""COMPUTED_VALUE"""),0.4286878571428571)</f>
        <v>0.4286878571</v>
      </c>
      <c r="F1044" s="20">
        <f>IFERROR(__xludf.DUMMYFUNCTION("""COMPUTED_VALUE"""),0.4361606607142857)</f>
        <v>0.4361606607</v>
      </c>
      <c r="G1044" s="20"/>
      <c r="H1044" s="20"/>
      <c r="J1044" s="26"/>
    </row>
    <row r="1045">
      <c r="A1045" s="24">
        <f>IFERROR(__xludf.DUMMYFUNCTION("""COMPUTED_VALUE"""),45605.0)</f>
        <v>45605</v>
      </c>
      <c r="B1045" s="20">
        <f>IFERROR(__xludf.DUMMYFUNCTION("""COMPUTED_VALUE"""),0.512605)</f>
        <v>0.512605</v>
      </c>
      <c r="C1045" s="21">
        <f>IFERROR(__xludf.DUMMYFUNCTION("""COMPUTED_VALUE"""),0.4225)</f>
        <v>0.4225</v>
      </c>
      <c r="D1045" s="25">
        <f>IFERROR(__xludf.DUMMYFUNCTION("""COMPUTED_VALUE"""),0.5974999999999999)</f>
        <v>0.5975</v>
      </c>
      <c r="E1045" s="20">
        <f>IFERROR(__xludf.DUMMYFUNCTION("""COMPUTED_VALUE"""),0.4335028571428571)</f>
        <v>0.4335028571</v>
      </c>
      <c r="F1045" s="20">
        <f>IFERROR(__xludf.DUMMYFUNCTION("""COMPUTED_VALUE"""),0.4398147107142858)</f>
        <v>0.4398147107</v>
      </c>
      <c r="G1045" s="20"/>
      <c r="H1045" s="20"/>
      <c r="J1045" s="26"/>
    </row>
    <row r="1046">
      <c r="A1046" s="24">
        <f>IFERROR(__xludf.DUMMYFUNCTION("""COMPUTED_VALUE"""),45606.0)</f>
        <v>45606</v>
      </c>
      <c r="B1046" s="20">
        <f>IFERROR(__xludf.DUMMYFUNCTION("""COMPUTED_VALUE"""),0.512605)</f>
        <v>0.512605</v>
      </c>
      <c r="C1046" s="21">
        <f>IFERROR(__xludf.DUMMYFUNCTION("""COMPUTED_VALUE"""),0.4225)</f>
        <v>0.4225</v>
      </c>
      <c r="D1046" s="25">
        <f>IFERROR(__xludf.DUMMYFUNCTION("""COMPUTED_VALUE"""),0.5974999999999999)</f>
        <v>0.5975</v>
      </c>
      <c r="E1046" s="20">
        <f>IFERROR(__xludf.DUMMYFUNCTION("""COMPUTED_VALUE"""),0.4383178571428571)</f>
        <v>0.4383178571</v>
      </c>
      <c r="F1046" s="20">
        <f>IFERROR(__xludf.DUMMYFUNCTION("""COMPUTED_VALUE"""),0.4434687607142858)</f>
        <v>0.4434687607</v>
      </c>
      <c r="G1046" s="20"/>
      <c r="H1046" s="20"/>
      <c r="J1046" s="26"/>
    </row>
    <row r="1047">
      <c r="A1047" s="24">
        <f>IFERROR(__xludf.DUMMYFUNCTION("""COMPUTED_VALUE"""),45607.0)</f>
        <v>45607</v>
      </c>
      <c r="B1047" s="20">
        <f>IFERROR(__xludf.DUMMYFUNCTION("""COMPUTED_VALUE"""),0.512605)</f>
        <v>0.512605</v>
      </c>
      <c r="C1047" s="21">
        <f>IFERROR(__xludf.DUMMYFUNCTION("""COMPUTED_VALUE"""),0.4225)</f>
        <v>0.4225</v>
      </c>
      <c r="D1047" s="25">
        <f>IFERROR(__xludf.DUMMYFUNCTION("""COMPUTED_VALUE"""),0.5974999999999999)</f>
        <v>0.5975</v>
      </c>
      <c r="E1047" s="20">
        <f>IFERROR(__xludf.DUMMYFUNCTION("""COMPUTED_VALUE"""),0.4429035714285714)</f>
        <v>0.4429035714</v>
      </c>
      <c r="F1047" s="20">
        <f>IFERROR(__xludf.DUMMYFUNCTION("""COMPUTED_VALUE"""),0.44765016785714284)</f>
        <v>0.4476501679</v>
      </c>
      <c r="G1047" s="20"/>
      <c r="H1047" s="20"/>
      <c r="J1047" s="26"/>
    </row>
    <row r="1048">
      <c r="A1048" s="24">
        <f>IFERROR(__xludf.DUMMYFUNCTION("""COMPUTED_VALUE"""),45608.0)</f>
        <v>45608</v>
      </c>
      <c r="B1048" s="20">
        <f>IFERROR(__xludf.DUMMYFUNCTION("""COMPUTED_VALUE"""),0.512605)</f>
        <v>0.512605</v>
      </c>
      <c r="C1048" s="21">
        <f>IFERROR(__xludf.DUMMYFUNCTION("""COMPUTED_VALUE"""),0.4225)</f>
        <v>0.4225</v>
      </c>
      <c r="D1048" s="25">
        <f>IFERROR(__xludf.DUMMYFUNCTION("""COMPUTED_VALUE"""),0.5974999999999999)</f>
        <v>0.5975</v>
      </c>
      <c r="E1048" s="20">
        <f>IFERROR(__xludf.DUMMYFUNCTION("""COMPUTED_VALUE"""),0.4500114285714285)</f>
        <v>0.4500114286</v>
      </c>
      <c r="F1048" s="20">
        <f>IFERROR(__xludf.DUMMYFUNCTION("""COMPUTED_VALUE"""),0.4523761285714286)</f>
        <v>0.4523761286</v>
      </c>
      <c r="G1048" s="20"/>
      <c r="H1048" s="20"/>
      <c r="J1048" s="26"/>
    </row>
    <row r="1049">
      <c r="A1049" s="24">
        <f>IFERROR(__xludf.DUMMYFUNCTION("""COMPUTED_VALUE"""),45609.0)</f>
        <v>45609</v>
      </c>
      <c r="B1049" s="20">
        <f>IFERROR(__xludf.DUMMYFUNCTION("""COMPUTED_VALUE"""),0.512605)</f>
        <v>0.512605</v>
      </c>
      <c r="C1049" s="21">
        <f>IFERROR(__xludf.DUMMYFUNCTION("""COMPUTED_VALUE"""),0.4225)</f>
        <v>0.4225</v>
      </c>
      <c r="D1049" s="25">
        <f>IFERROR(__xludf.DUMMYFUNCTION("""COMPUTED_VALUE"""),0.5974999999999999)</f>
        <v>0.5975</v>
      </c>
      <c r="E1049" s="20">
        <f>IFERROR(__xludf.DUMMYFUNCTION("""COMPUTED_VALUE"""),0.4581128571428571)</f>
        <v>0.4581128571</v>
      </c>
      <c r="F1049" s="20">
        <f>IFERROR(__xludf.DUMMYFUNCTION("""COMPUTED_VALUE"""),0.4565036535714286)</f>
        <v>0.4565036536</v>
      </c>
      <c r="G1049" s="20"/>
      <c r="H1049" s="20"/>
      <c r="J1049" s="26"/>
    </row>
    <row r="1050">
      <c r="A1050" s="24">
        <f>IFERROR(__xludf.DUMMYFUNCTION("""COMPUTED_VALUE"""),45610.0)</f>
        <v>45610</v>
      </c>
      <c r="B1050" s="20">
        <f>IFERROR(__xludf.DUMMYFUNCTION("""COMPUTED_VALUE"""),0.512605)</f>
        <v>0.512605</v>
      </c>
      <c r="C1050" s="21">
        <f>IFERROR(__xludf.DUMMYFUNCTION("""COMPUTED_VALUE"""),0.4225)</f>
        <v>0.4225</v>
      </c>
      <c r="D1050" s="25">
        <f>IFERROR(__xludf.DUMMYFUNCTION("""COMPUTED_VALUE"""),0.5974999999999999)</f>
        <v>0.5975</v>
      </c>
      <c r="E1050" s="20">
        <f>IFERROR(__xludf.DUMMYFUNCTION("""COMPUTED_VALUE"""),0.4667492857142857)</f>
        <v>0.4667492857</v>
      </c>
      <c r="F1050" s="20">
        <f>IFERROR(__xludf.DUMMYFUNCTION("""COMPUTED_VALUE"""),0.4626164107142858)</f>
        <v>0.4626164107</v>
      </c>
      <c r="G1050" s="20"/>
      <c r="H1050" s="20"/>
      <c r="J1050" s="26"/>
    </row>
    <row r="1051">
      <c r="A1051" s="24">
        <f>IFERROR(__xludf.DUMMYFUNCTION("""COMPUTED_VALUE"""),45611.0)</f>
        <v>45611</v>
      </c>
      <c r="B1051" s="20">
        <f>IFERROR(__xludf.DUMMYFUNCTION("""COMPUTED_VALUE"""),0.512605)</f>
        <v>0.512605</v>
      </c>
      <c r="C1051" s="21">
        <f>IFERROR(__xludf.DUMMYFUNCTION("""COMPUTED_VALUE"""),0.4225)</f>
        <v>0.4225</v>
      </c>
      <c r="D1051" s="25">
        <f>IFERROR(__xludf.DUMMYFUNCTION("""COMPUTED_VALUE"""),0.5974999999999999)</f>
        <v>0.5975</v>
      </c>
      <c r="E1051" s="20">
        <f>IFERROR(__xludf.DUMMYFUNCTION("""COMPUTED_VALUE"""),0.47683785714285704)</f>
        <v>0.4768378571</v>
      </c>
      <c r="F1051" s="20">
        <f>IFERROR(__xludf.DUMMYFUNCTION("""COMPUTED_VALUE"""),0.46815136785714284)</f>
        <v>0.4681513679</v>
      </c>
      <c r="G1051" s="20"/>
      <c r="H1051" s="20"/>
      <c r="J1051" s="26"/>
    </row>
    <row r="1052">
      <c r="A1052" s="24">
        <f>IFERROR(__xludf.DUMMYFUNCTION("""COMPUTED_VALUE"""),45612.0)</f>
        <v>45612</v>
      </c>
      <c r="B1052" s="20">
        <f>IFERROR(__xludf.DUMMYFUNCTION("""COMPUTED_VALUE"""),0.512605)</f>
        <v>0.512605</v>
      </c>
      <c r="C1052" s="21">
        <f>IFERROR(__xludf.DUMMYFUNCTION("""COMPUTED_VALUE"""),0.4225)</f>
        <v>0.4225</v>
      </c>
      <c r="D1052" s="25">
        <f>IFERROR(__xludf.DUMMYFUNCTION("""COMPUTED_VALUE"""),0.5974999999999999)</f>
        <v>0.5975</v>
      </c>
      <c r="E1052" s="20">
        <f>IFERROR(__xludf.DUMMYFUNCTION("""COMPUTED_VALUE"""),0.4847864285714286)</f>
        <v>0.4847864286</v>
      </c>
      <c r="F1052" s="20">
        <f>IFERROR(__xludf.DUMMYFUNCTION("""COMPUTED_VALUE"""),0.47368632499999996)</f>
        <v>0.473686325</v>
      </c>
      <c r="G1052" s="20"/>
      <c r="H1052" s="20"/>
      <c r="J1052" s="26"/>
    </row>
    <row r="1053">
      <c r="A1053" s="24">
        <f>IFERROR(__xludf.DUMMYFUNCTION("""COMPUTED_VALUE"""),45613.0)</f>
        <v>45613</v>
      </c>
      <c r="B1053" s="20">
        <f>IFERROR(__xludf.DUMMYFUNCTION("""COMPUTED_VALUE"""),0.512605)</f>
        <v>0.512605</v>
      </c>
      <c r="C1053" s="21">
        <f>IFERROR(__xludf.DUMMYFUNCTION("""COMPUTED_VALUE"""),0.4225)</f>
        <v>0.4225</v>
      </c>
      <c r="D1053" s="25">
        <f>IFERROR(__xludf.DUMMYFUNCTION("""COMPUTED_VALUE"""),0.5974999999999999)</f>
        <v>0.5975</v>
      </c>
      <c r="E1053" s="20">
        <f>IFERROR(__xludf.DUMMYFUNCTION("""COMPUTED_VALUE"""),0.492735)</f>
        <v>0.492735</v>
      </c>
      <c r="F1053" s="20">
        <f>IFERROR(__xludf.DUMMYFUNCTION("""COMPUTED_VALUE"""),0.47922128214285714)</f>
        <v>0.4792212821</v>
      </c>
      <c r="G1053" s="20"/>
      <c r="H1053" s="20"/>
      <c r="J1053" s="26"/>
    </row>
    <row r="1054">
      <c r="A1054" s="24">
        <f>IFERROR(__xludf.DUMMYFUNCTION("""COMPUTED_VALUE"""),45614.0)</f>
        <v>45614</v>
      </c>
      <c r="B1054" s="20">
        <f>IFERROR(__xludf.DUMMYFUNCTION("""COMPUTED_VALUE"""),0.513545)</f>
        <v>0.513545</v>
      </c>
      <c r="C1054" s="21">
        <f>IFERROR(__xludf.DUMMYFUNCTION("""COMPUTED_VALUE"""),0.432)</f>
        <v>0.432</v>
      </c>
      <c r="D1054" s="25">
        <f>IFERROR(__xludf.DUMMYFUNCTION("""COMPUTED_VALUE"""),0.5974999999999999)</f>
        <v>0.5975</v>
      </c>
      <c r="E1054" s="20">
        <f>IFERROR(__xludf.DUMMYFUNCTION("""COMPUTED_VALUE"""),0.5005307142857143)</f>
        <v>0.5005307143</v>
      </c>
      <c r="F1054" s="20">
        <f>IFERROR(__xludf.DUMMYFUNCTION("""COMPUTED_VALUE"""),0.48348561428571424)</f>
        <v>0.4834856143</v>
      </c>
      <c r="G1054" s="20"/>
      <c r="H1054" s="20"/>
      <c r="J1054" s="26"/>
    </row>
    <row r="1055">
      <c r="A1055" s="24">
        <f>IFERROR(__xludf.DUMMYFUNCTION("""COMPUTED_VALUE"""),45615.0)</f>
        <v>45615</v>
      </c>
      <c r="B1055" s="20">
        <f>IFERROR(__xludf.DUMMYFUNCTION("""COMPUTED_VALUE"""),0.513545)</f>
        <v>0.513545</v>
      </c>
      <c r="C1055" s="21">
        <f>IFERROR(__xludf.DUMMYFUNCTION("""COMPUTED_VALUE"""),0.432)</f>
        <v>0.432</v>
      </c>
      <c r="D1055" s="25">
        <f>IFERROR(__xludf.DUMMYFUNCTION("""COMPUTED_VALUE"""),0.5974999999999999)</f>
        <v>0.5975</v>
      </c>
      <c r="E1055" s="20">
        <f>IFERROR(__xludf.DUMMYFUNCTION("""COMPUTED_VALUE"""),0.5055749999999999)</f>
        <v>0.505575</v>
      </c>
      <c r="F1055" s="20">
        <f>IFERROR(__xludf.DUMMYFUNCTION("""COMPUTED_VALUE"""),0.4855556821428571)</f>
        <v>0.4855556821</v>
      </c>
      <c r="G1055" s="20"/>
      <c r="H1055" s="20"/>
      <c r="J1055" s="26"/>
    </row>
    <row r="1056">
      <c r="A1056" s="24">
        <f>IFERROR(__xludf.DUMMYFUNCTION("""COMPUTED_VALUE"""),45616.0)</f>
        <v>45616</v>
      </c>
      <c r="B1056" s="20">
        <f>IFERROR(__xludf.DUMMYFUNCTION("""COMPUTED_VALUE"""),0.513545)</f>
        <v>0.513545</v>
      </c>
      <c r="C1056" s="21">
        <f>IFERROR(__xludf.DUMMYFUNCTION("""COMPUTED_VALUE"""),0.432)</f>
        <v>0.432</v>
      </c>
      <c r="D1056" s="25">
        <f>IFERROR(__xludf.DUMMYFUNCTION("""COMPUTED_VALUE"""),0.5974999999999999)</f>
        <v>0.5975</v>
      </c>
      <c r="E1056" s="20">
        <f>IFERROR(__xludf.DUMMYFUNCTION("""COMPUTED_VALUE"""),0.5067214285714285)</f>
        <v>0.5067214286</v>
      </c>
      <c r="F1056" s="20">
        <f>IFERROR(__xludf.DUMMYFUNCTION("""COMPUTED_VALUE"""),0.48961365714285715)</f>
        <v>0.4896136571</v>
      </c>
      <c r="G1056" s="20"/>
      <c r="H1056" s="20"/>
      <c r="J1056" s="26"/>
    </row>
    <row r="1057">
      <c r="A1057" s="24">
        <f>IFERROR(__xludf.DUMMYFUNCTION("""COMPUTED_VALUE"""),45617.0)</f>
        <v>45617</v>
      </c>
      <c r="B1057" s="23">
        <f>IFERROR(__xludf.DUMMYFUNCTION("""COMPUTED_VALUE"""),0.513545)</f>
        <v>0.513545</v>
      </c>
      <c r="C1057" s="25">
        <f>IFERROR(__xludf.DUMMYFUNCTION("""COMPUTED_VALUE"""),0.432)</f>
        <v>0.432</v>
      </c>
      <c r="D1057" s="25">
        <f>IFERROR(__xludf.DUMMYFUNCTION("""COMPUTED_VALUE"""),0.5974999999999999)</f>
        <v>0.5975</v>
      </c>
      <c r="E1057" s="23">
        <f>IFERROR(__xludf.DUMMYFUNCTION("""COMPUTED_VALUE"""),0.5103135714285714)</f>
        <v>0.5103135714</v>
      </c>
      <c r="F1057" s="23">
        <f>IFERROR(__xludf.DUMMYFUNCTION("""COMPUTED_VALUE"""),0.49279996428571426)</f>
        <v>0.4927999643</v>
      </c>
      <c r="G1057" s="23"/>
      <c r="H1057" s="23"/>
      <c r="J1057" s="26"/>
    </row>
    <row r="1058">
      <c r="A1058" s="24">
        <f>IFERROR(__xludf.DUMMYFUNCTION("""COMPUTED_VALUE"""),45618.0)</f>
        <v>45618</v>
      </c>
      <c r="B1058" s="23">
        <f>IFERROR(__xludf.DUMMYFUNCTION("""COMPUTED_VALUE"""),0.513545)</f>
        <v>0.513545</v>
      </c>
      <c r="C1058" s="25">
        <f>IFERROR(__xludf.DUMMYFUNCTION("""COMPUTED_VALUE"""),0.432)</f>
        <v>0.432</v>
      </c>
      <c r="D1058" s="25">
        <f>IFERROR(__xludf.DUMMYFUNCTION("""COMPUTED_VALUE"""),0.5974999999999999)</f>
        <v>0.5975</v>
      </c>
      <c r="E1058" s="23">
        <f>IFERROR(__xludf.DUMMYFUNCTION("""COMPUTED_VALUE"""),0.5139057142857143)</f>
        <v>0.5139057143</v>
      </c>
      <c r="F1058" s="23">
        <f>IFERROR(__xludf.DUMMYFUNCTION("""COMPUTED_VALUE"""),0.49373392142857137)</f>
        <v>0.4937339214</v>
      </c>
      <c r="G1058" s="23"/>
      <c r="H1058" s="23"/>
      <c r="J1058" s="26"/>
    </row>
    <row r="1059">
      <c r="A1059" s="24">
        <f>IFERROR(__xludf.DUMMYFUNCTION("""COMPUTED_VALUE"""),45619.0)</f>
        <v>45619</v>
      </c>
      <c r="B1059" s="23">
        <f>IFERROR(__xludf.DUMMYFUNCTION("""COMPUTED_VALUE"""),0.513545)</f>
        <v>0.513545</v>
      </c>
      <c r="C1059" s="25">
        <f>IFERROR(__xludf.DUMMYFUNCTION("""COMPUTED_VALUE"""),0.432)</f>
        <v>0.432</v>
      </c>
      <c r="D1059" s="25">
        <f>IFERROR(__xludf.DUMMYFUNCTION("""COMPUTED_VALUE"""),0.5974999999999999)</f>
        <v>0.5975</v>
      </c>
      <c r="E1059" s="23">
        <f>IFERROR(__xludf.DUMMYFUNCTION("""COMPUTED_VALUE"""),0.5168864285714285)</f>
        <v>0.5168864286</v>
      </c>
      <c r="F1059" s="23">
        <f>IFERROR(__xludf.DUMMYFUNCTION("""COMPUTED_VALUE"""),0.4946678785714284)</f>
        <v>0.4946678786</v>
      </c>
      <c r="G1059" s="23"/>
      <c r="H1059" s="23"/>
      <c r="J1059" s="26"/>
    </row>
    <row r="1060">
      <c r="A1060" s="24">
        <f>IFERROR(__xludf.DUMMYFUNCTION("""COMPUTED_VALUE"""),45620.0)</f>
        <v>45620</v>
      </c>
      <c r="B1060" s="23">
        <f>IFERROR(__xludf.DUMMYFUNCTION("""COMPUTED_VALUE"""),0.513545)</f>
        <v>0.513545</v>
      </c>
      <c r="C1060" s="25">
        <f>IFERROR(__xludf.DUMMYFUNCTION("""COMPUTED_VALUE"""),0.432)</f>
        <v>0.432</v>
      </c>
      <c r="D1060" s="25">
        <f>IFERROR(__xludf.DUMMYFUNCTION("""COMPUTED_VALUE"""),0.5974999999999999)</f>
        <v>0.5975</v>
      </c>
      <c r="E1060" s="23">
        <f>IFERROR(__xludf.DUMMYFUNCTION("""COMPUTED_VALUE"""),0.5198671428571429)</f>
        <v>0.5198671429</v>
      </c>
      <c r="F1060" s="23">
        <f>IFERROR(__xludf.DUMMYFUNCTION("""COMPUTED_VALUE"""),0.4956018357142856)</f>
        <v>0.4956018357</v>
      </c>
      <c r="G1060" s="23"/>
      <c r="H1060" s="23"/>
      <c r="J1060" s="26"/>
    </row>
    <row r="1061">
      <c r="A1061" s="24">
        <f>IFERROR(__xludf.DUMMYFUNCTION("""COMPUTED_VALUE"""),45621.0)</f>
        <v>45621</v>
      </c>
      <c r="B1061" s="23">
        <f>IFERROR(__xludf.DUMMYFUNCTION("""COMPUTED_VALUE"""),0.5258047619047619)</f>
        <v>0.5258047619</v>
      </c>
      <c r="C1061" s="25">
        <f>IFERROR(__xludf.DUMMYFUNCTION("""COMPUTED_VALUE"""),0.432)</f>
        <v>0.432</v>
      </c>
      <c r="D1061" s="25">
        <f>IFERROR(__xludf.DUMMYFUNCTION("""COMPUTED_VALUE"""),0.5994999999999999)</f>
        <v>0.5995</v>
      </c>
      <c r="E1061" s="23">
        <f>IFERROR(__xludf.DUMMYFUNCTION("""COMPUTED_VALUE"""),0.5220071428571428)</f>
        <v>0.5220071429</v>
      </c>
      <c r="F1061" s="23">
        <f>IFERROR(__xludf.DUMMYFUNCTION("""COMPUTED_VALUE"""),0.4969095285714285)</f>
        <v>0.4969095286</v>
      </c>
      <c r="G1061" s="23"/>
      <c r="H1061" s="23"/>
      <c r="J1061" s="26"/>
    </row>
    <row r="1062">
      <c r="A1062" s="24">
        <f>IFERROR(__xludf.DUMMYFUNCTION("""COMPUTED_VALUE"""),45622.0)</f>
        <v>45622</v>
      </c>
      <c r="B1062" s="23">
        <f>IFERROR(__xludf.DUMMYFUNCTION("""COMPUTED_VALUE"""),0.5258047619047619)</f>
        <v>0.5258047619</v>
      </c>
      <c r="C1062" s="25">
        <f>IFERROR(__xludf.DUMMYFUNCTION("""COMPUTED_VALUE"""),0.432)</f>
        <v>0.432</v>
      </c>
      <c r="D1062" s="25">
        <f>IFERROR(__xludf.DUMMYFUNCTION("""COMPUTED_VALUE"""),0.5994999999999999)</f>
        <v>0.5995</v>
      </c>
      <c r="E1062" s="23">
        <f>IFERROR(__xludf.DUMMYFUNCTION("""COMPUTED_VALUE"""),0.5251407142857142)</f>
        <v>0.5251407143</v>
      </c>
      <c r="F1062" s="23">
        <f>IFERROR(__xludf.DUMMYFUNCTION("""COMPUTED_VALUE"""),0.49943319999999997)</f>
        <v>0.4994332</v>
      </c>
      <c r="G1062" s="23"/>
      <c r="H1062" s="23"/>
      <c r="J1062" s="26"/>
    </row>
    <row r="1063">
      <c r="A1063" s="24">
        <f>IFERROR(__xludf.DUMMYFUNCTION("""COMPUTED_VALUE"""),45623.0)</f>
        <v>45623</v>
      </c>
      <c r="B1063" s="23">
        <f>IFERROR(__xludf.DUMMYFUNCTION("""COMPUTED_VALUE"""),0.5258047619047619)</f>
        <v>0.5258047619</v>
      </c>
      <c r="C1063" s="25">
        <f>IFERROR(__xludf.DUMMYFUNCTION("""COMPUTED_VALUE"""),0.432)</f>
        <v>0.432</v>
      </c>
      <c r="D1063" s="25">
        <f>IFERROR(__xludf.DUMMYFUNCTION("""COMPUTED_VALUE"""),0.5994999999999999)</f>
        <v>0.5995</v>
      </c>
      <c r="E1063" s="23">
        <f>IFERROR(__xludf.DUMMYFUNCTION("""COMPUTED_VALUE"""),0.5272042857142857)</f>
        <v>0.5272042857</v>
      </c>
      <c r="F1063" s="23">
        <f>IFERROR(__xludf.DUMMYFUNCTION("""COMPUTED_VALUE"""),0.5000759642857143)</f>
        <v>0.5000759643</v>
      </c>
      <c r="G1063" s="23"/>
      <c r="H1063" s="23"/>
      <c r="J1063" s="26"/>
    </row>
    <row r="1064">
      <c r="A1064" s="24">
        <f>IFERROR(__xludf.DUMMYFUNCTION("""COMPUTED_VALUE"""),45624.0)</f>
        <v>45624</v>
      </c>
      <c r="B1064" s="23">
        <f>IFERROR(__xludf.DUMMYFUNCTION("""COMPUTED_VALUE"""),0.5258047619047619)</f>
        <v>0.5258047619</v>
      </c>
      <c r="C1064" s="25">
        <f>IFERROR(__xludf.DUMMYFUNCTION("""COMPUTED_VALUE"""),0.432)</f>
        <v>0.432</v>
      </c>
      <c r="D1064" s="25">
        <f>IFERROR(__xludf.DUMMYFUNCTION("""COMPUTED_VALUE"""),0.5994999999999999)</f>
        <v>0.5995</v>
      </c>
      <c r="E1064" s="23">
        <f>IFERROR(__xludf.DUMMYFUNCTION("""COMPUTED_VALUE"""),0.5274335714285714)</f>
        <v>0.5274335714</v>
      </c>
      <c r="F1064" s="23">
        <f>IFERROR(__xludf.DUMMYFUNCTION("""COMPUTED_VALUE"""),0.49792602857142854)</f>
        <v>0.4979260286</v>
      </c>
      <c r="G1064" s="23"/>
      <c r="H1064" s="23"/>
      <c r="J1064" s="26"/>
    </row>
    <row r="1065">
      <c r="A1065" s="24">
        <f>IFERROR(__xludf.DUMMYFUNCTION("""COMPUTED_VALUE"""),45625.0)</f>
        <v>45625</v>
      </c>
      <c r="B1065" s="23">
        <f>IFERROR(__xludf.DUMMYFUNCTION("""COMPUTED_VALUE"""),0.5258047619047619)</f>
        <v>0.5258047619</v>
      </c>
      <c r="C1065" s="25">
        <f>IFERROR(__xludf.DUMMYFUNCTION("""COMPUTED_VALUE"""),0.432)</f>
        <v>0.432</v>
      </c>
      <c r="D1065" s="25">
        <f>IFERROR(__xludf.DUMMYFUNCTION("""COMPUTED_VALUE"""),0.5994999999999999)</f>
        <v>0.5995</v>
      </c>
      <c r="E1065" s="23">
        <f>IFERROR(__xludf.DUMMYFUNCTION("""COMPUTED_VALUE"""),0.5241471428571429)</f>
        <v>0.5241471429</v>
      </c>
      <c r="F1065" s="23">
        <f>IFERROR(__xludf.DUMMYFUNCTION("""COMPUTED_VALUE"""),0.4988978178571429)</f>
        <v>0.4988978179</v>
      </c>
      <c r="G1065" s="23"/>
      <c r="H1065" s="23"/>
      <c r="J1065" s="26"/>
    </row>
    <row r="1066">
      <c r="A1066" s="24">
        <f>IFERROR(__xludf.DUMMYFUNCTION("""COMPUTED_VALUE"""),45626.0)</f>
        <v>45626</v>
      </c>
      <c r="B1066" s="23">
        <f>IFERROR(__xludf.DUMMYFUNCTION("""COMPUTED_VALUE"""),0.5258047619047619)</f>
        <v>0.5258047619</v>
      </c>
      <c r="C1066" s="25">
        <f>IFERROR(__xludf.DUMMYFUNCTION("""COMPUTED_VALUE"""),0.432)</f>
        <v>0.432</v>
      </c>
      <c r="D1066" s="25">
        <f>IFERROR(__xludf.DUMMYFUNCTION("""COMPUTED_VALUE"""),0.5994999999999999)</f>
        <v>0.5995</v>
      </c>
      <c r="E1066" s="23">
        <f>IFERROR(__xludf.DUMMYFUNCTION("""COMPUTED_VALUE"""),0.5239178571428572)</f>
        <v>0.5239178571</v>
      </c>
      <c r="F1066" s="23">
        <f>IFERROR(__xludf.DUMMYFUNCTION("""COMPUTED_VALUE"""),0.4998696071428571)</f>
        <v>0.4998696071</v>
      </c>
      <c r="G1066" s="23"/>
      <c r="H1066" s="23"/>
      <c r="J1066" s="26"/>
    </row>
    <row r="1067">
      <c r="A1067" s="24">
        <f>IFERROR(__xludf.DUMMYFUNCTION("""COMPUTED_VALUE"""),45627.0)</f>
        <v>45627</v>
      </c>
      <c r="B1067" s="23">
        <f>IFERROR(__xludf.DUMMYFUNCTION("""COMPUTED_VALUE"""),0.5258047619047619)</f>
        <v>0.5258047619</v>
      </c>
      <c r="C1067" s="25">
        <f>IFERROR(__xludf.DUMMYFUNCTION("""COMPUTED_VALUE"""),0.432)</f>
        <v>0.432</v>
      </c>
      <c r="D1067" s="25">
        <f>IFERROR(__xludf.DUMMYFUNCTION("""COMPUTED_VALUE"""),0.5994999999999999)</f>
        <v>0.5995</v>
      </c>
      <c r="E1067" s="23">
        <f>IFERROR(__xludf.DUMMYFUNCTION("""COMPUTED_VALUE"""),0.5219307142857142)</f>
        <v>0.5219307143</v>
      </c>
      <c r="F1067" s="23">
        <f>IFERROR(__xludf.DUMMYFUNCTION("""COMPUTED_VALUE"""),0.5008413964285713)</f>
        <v>0.5008413964</v>
      </c>
      <c r="G1067" s="23"/>
      <c r="H1067" s="23"/>
      <c r="J1067" s="26"/>
    </row>
    <row r="1068">
      <c r="A1068" s="24">
        <f>IFERROR(__xludf.DUMMYFUNCTION("""COMPUTED_VALUE"""),45628.0)</f>
        <v>45628</v>
      </c>
      <c r="B1068" s="23">
        <f>IFERROR(__xludf.DUMMYFUNCTION("""COMPUTED_VALUE"""),0.5258047619047619)</f>
        <v>0.5258047619</v>
      </c>
      <c r="C1068" s="25">
        <f>IFERROR(__xludf.DUMMYFUNCTION("""COMPUTED_VALUE"""),0.432)</f>
        <v>0.432</v>
      </c>
      <c r="D1068" s="25">
        <f>IFERROR(__xludf.DUMMYFUNCTION("""COMPUTED_VALUE"""),0.5994999999999999)</f>
        <v>0.5995</v>
      </c>
      <c r="E1068" s="23">
        <f>IFERROR(__xludf.DUMMYFUNCTION("""COMPUTED_VALUE"""),0.5210135714285714)</f>
        <v>0.5210135714</v>
      </c>
      <c r="F1068" s="23">
        <f>IFERROR(__xludf.DUMMYFUNCTION("""COMPUTED_VALUE"""),0.5019029892857143)</f>
        <v>0.5019029893</v>
      </c>
      <c r="G1068" s="23"/>
      <c r="H1068" s="23"/>
      <c r="J1068" s="26"/>
    </row>
    <row r="1069">
      <c r="A1069" s="24">
        <f>IFERROR(__xludf.DUMMYFUNCTION("""COMPUTED_VALUE"""),45629.0)</f>
        <v>45629</v>
      </c>
      <c r="B1069" s="23">
        <f>IFERROR(__xludf.DUMMYFUNCTION("""COMPUTED_VALUE"""),0.5258047619047619)</f>
        <v>0.5258047619</v>
      </c>
      <c r="C1069" s="25">
        <f>IFERROR(__xludf.DUMMYFUNCTION("""COMPUTED_VALUE"""),0.432)</f>
        <v>0.432</v>
      </c>
      <c r="D1069" s="25">
        <f>IFERROR(__xludf.DUMMYFUNCTION("""COMPUTED_VALUE"""),0.5994999999999999)</f>
        <v>0.5995</v>
      </c>
      <c r="E1069" s="23">
        <f>IFERROR(__xludf.DUMMYFUNCTION("""COMPUTED_VALUE"""),0.52323)</f>
        <v>0.52323</v>
      </c>
      <c r="F1069" s="23">
        <f>IFERROR(__xludf.DUMMYFUNCTION("""COMPUTED_VALUE"""),0.5026623071428571)</f>
        <v>0.5026623071</v>
      </c>
      <c r="G1069" s="23"/>
      <c r="H1069" s="23"/>
      <c r="J1069" s="26"/>
    </row>
    <row r="1070">
      <c r="A1070" s="24">
        <f>IFERROR(__xludf.DUMMYFUNCTION("""COMPUTED_VALUE"""),45630.0)</f>
        <v>45630</v>
      </c>
      <c r="B1070" s="23">
        <f>IFERROR(__xludf.DUMMYFUNCTION("""COMPUTED_VALUE"""),0.5258047619047619)</f>
        <v>0.5258047619</v>
      </c>
      <c r="C1070" s="25">
        <f>IFERROR(__xludf.DUMMYFUNCTION("""COMPUTED_VALUE"""),0.432)</f>
        <v>0.432</v>
      </c>
      <c r="D1070" s="25">
        <f>IFERROR(__xludf.DUMMYFUNCTION("""COMPUTED_VALUE"""),0.5994999999999999)</f>
        <v>0.5995</v>
      </c>
      <c r="E1070" s="23">
        <f>IFERROR(__xludf.DUMMYFUNCTION("""COMPUTED_VALUE"""),0.5289621428571428)</f>
        <v>0.5289621429</v>
      </c>
      <c r="F1070" s="23">
        <f>IFERROR(__xludf.DUMMYFUNCTION("""COMPUTED_VALUE"""),0.5025721214285713)</f>
        <v>0.5025721214</v>
      </c>
      <c r="G1070" s="23"/>
      <c r="H1070" s="23"/>
      <c r="J1070" s="26"/>
    </row>
    <row r="1071">
      <c r="A1071" s="24">
        <f>IFERROR(__xludf.DUMMYFUNCTION("""COMPUTED_VALUE"""),45631.0)</f>
        <v>45631</v>
      </c>
      <c r="B1071" s="23">
        <f>IFERROR(__xludf.DUMMYFUNCTION("""COMPUTED_VALUE"""),0.5258047619047619)</f>
        <v>0.5258047619</v>
      </c>
      <c r="C1071" s="25">
        <f>IFERROR(__xludf.DUMMYFUNCTION("""COMPUTED_VALUE"""),0.432)</f>
        <v>0.432</v>
      </c>
      <c r="D1071" s="25">
        <f>IFERROR(__xludf.DUMMYFUNCTION("""COMPUTED_VALUE"""),0.5994999999999999)</f>
        <v>0.5995</v>
      </c>
      <c r="E1071" s="23">
        <f>IFERROR(__xludf.DUMMYFUNCTION("""COMPUTED_VALUE"""),0.5326307142857142)</f>
        <v>0.5326307143</v>
      </c>
      <c r="F1071" s="23">
        <f>IFERROR(__xludf.DUMMYFUNCTION("""COMPUTED_VALUE"""),0.5022862785714285)</f>
        <v>0.5022862786</v>
      </c>
      <c r="G1071" s="23"/>
      <c r="H1071" s="23"/>
      <c r="J1071" s="26"/>
    </row>
    <row r="1072">
      <c r="A1072" s="24">
        <f>IFERROR(__xludf.DUMMYFUNCTION("""COMPUTED_VALUE"""),45632.0)</f>
        <v>45632</v>
      </c>
      <c r="B1072" s="23">
        <f>IFERROR(__xludf.DUMMYFUNCTION("""COMPUTED_VALUE"""),0.5258047619047619)</f>
        <v>0.5258047619</v>
      </c>
      <c r="C1072" s="25">
        <f>IFERROR(__xludf.DUMMYFUNCTION("""COMPUTED_VALUE"""),0.432)</f>
        <v>0.432</v>
      </c>
      <c r="D1072" s="25">
        <f>IFERROR(__xludf.DUMMYFUNCTION("""COMPUTED_VALUE"""),0.5994999999999999)</f>
        <v>0.5995</v>
      </c>
      <c r="E1072" s="23">
        <f>IFERROR(__xludf.DUMMYFUNCTION("""COMPUTED_VALUE"""),0.5362228571428571)</f>
        <v>0.5362228571</v>
      </c>
      <c r="F1072" s="23">
        <f>IFERROR(__xludf.DUMMYFUNCTION("""COMPUTED_VALUE"""),0.5005578464285715)</f>
        <v>0.5005578464</v>
      </c>
      <c r="G1072" s="23"/>
      <c r="H1072" s="23"/>
      <c r="J1072" s="26"/>
    </row>
    <row r="1073">
      <c r="A1073" s="24">
        <f>IFERROR(__xludf.DUMMYFUNCTION("""COMPUTED_VALUE"""),45633.0)</f>
        <v>45633</v>
      </c>
      <c r="B1073" s="23">
        <f>IFERROR(__xludf.DUMMYFUNCTION("""COMPUTED_VALUE"""),0.5258047619047619)</f>
        <v>0.5258047619</v>
      </c>
      <c r="C1073" s="25">
        <f>IFERROR(__xludf.DUMMYFUNCTION("""COMPUTED_VALUE"""),0.432)</f>
        <v>0.432</v>
      </c>
      <c r="D1073" s="25">
        <f>IFERROR(__xludf.DUMMYFUNCTION("""COMPUTED_VALUE"""),0.5994999999999999)</f>
        <v>0.5995</v>
      </c>
      <c r="E1073" s="23">
        <f>IFERROR(__xludf.DUMMYFUNCTION("""COMPUTED_VALUE"""),0.5356114285714285)</f>
        <v>0.5356114286</v>
      </c>
      <c r="F1073" s="23">
        <f>IFERROR(__xludf.DUMMYFUNCTION("""COMPUTED_VALUE"""),0.4988294142857143)</f>
        <v>0.4988294143</v>
      </c>
      <c r="G1073" s="23"/>
      <c r="H1073" s="23"/>
      <c r="J1073" s="26"/>
    </row>
    <row r="1074">
      <c r="A1074" s="24">
        <f>IFERROR(__xludf.DUMMYFUNCTION("""COMPUTED_VALUE"""),45634.0)</f>
        <v>45634</v>
      </c>
      <c r="B1074" s="23">
        <f>IFERROR(__xludf.DUMMYFUNCTION("""COMPUTED_VALUE"""),0.5258047619047619)</f>
        <v>0.5258047619</v>
      </c>
      <c r="C1074" s="25">
        <f>IFERROR(__xludf.DUMMYFUNCTION("""COMPUTED_VALUE"""),0.432)</f>
        <v>0.432</v>
      </c>
      <c r="D1074" s="25">
        <f>IFERROR(__xludf.DUMMYFUNCTION("""COMPUTED_VALUE"""),0.5994999999999999)</f>
        <v>0.5995</v>
      </c>
      <c r="E1074" s="23">
        <f>IFERROR(__xludf.DUMMYFUNCTION("""COMPUTED_VALUE"""),0.5367578571428571)</f>
        <v>0.5367578571</v>
      </c>
      <c r="F1074" s="23">
        <f>IFERROR(__xludf.DUMMYFUNCTION("""COMPUTED_VALUE"""),0.49710098214285725)</f>
        <v>0.4971009821</v>
      </c>
      <c r="G1074" s="23"/>
      <c r="H1074" s="23"/>
      <c r="J1074" s="26"/>
    </row>
    <row r="1075">
      <c r="A1075" s="24">
        <f>IFERROR(__xludf.DUMMYFUNCTION("""COMPUTED_VALUE"""),45635.0)</f>
        <v>45635</v>
      </c>
      <c r="B1075" s="23">
        <f>IFERROR(__xludf.DUMMYFUNCTION("""COMPUTED_VALUE"""),0.5258047619047619)</f>
        <v>0.5258047619</v>
      </c>
      <c r="C1075" s="25">
        <f>IFERROR(__xludf.DUMMYFUNCTION("""COMPUTED_VALUE"""),0.432)</f>
        <v>0.432</v>
      </c>
      <c r="D1075" s="25">
        <f>IFERROR(__xludf.DUMMYFUNCTION("""COMPUTED_VALUE"""),0.5994999999999999)</f>
        <v>0.5995</v>
      </c>
      <c r="E1075" s="23">
        <f>IFERROR(__xludf.DUMMYFUNCTION("""COMPUTED_VALUE"""),0.5380571428571429)</f>
        <v>0.5380571429</v>
      </c>
      <c r="F1075" s="23">
        <f>IFERROR(__xludf.DUMMYFUNCTION("""COMPUTED_VALUE"""),0.492454125)</f>
        <v>0.492454125</v>
      </c>
      <c r="G1075" s="23"/>
      <c r="H1075" s="23"/>
      <c r="J1075" s="26"/>
    </row>
    <row r="1076">
      <c r="A1076" s="24">
        <f>IFERROR(__xludf.DUMMYFUNCTION("""COMPUTED_VALUE"""),45636.0)</f>
        <v>45636</v>
      </c>
      <c r="B1076" s="23">
        <f>IFERROR(__xludf.DUMMYFUNCTION("""COMPUTED_VALUE"""),0.5258047619047619)</f>
        <v>0.5258047619</v>
      </c>
      <c r="C1076" s="25">
        <f>IFERROR(__xludf.DUMMYFUNCTION("""COMPUTED_VALUE"""),0.432)</f>
        <v>0.432</v>
      </c>
      <c r="D1076" s="25">
        <f>IFERROR(__xludf.DUMMYFUNCTION("""COMPUTED_VALUE"""),0.5994999999999999)</f>
        <v>0.5995</v>
      </c>
      <c r="E1076" s="23">
        <f>IFERROR(__xludf.DUMMYFUNCTION("""COMPUTED_VALUE"""),0.5362992857142858)</f>
        <v>0.5362992857</v>
      </c>
      <c r="F1076" s="23">
        <f>IFERROR(__xludf.DUMMYFUNCTION("""COMPUTED_VALUE"""),0.4892383928571428)</f>
        <v>0.4892383929</v>
      </c>
      <c r="G1076" s="23"/>
      <c r="H1076" s="23"/>
      <c r="J1076" s="26"/>
    </row>
    <row r="1077">
      <c r="A1077" s="24">
        <f>IFERROR(__xludf.DUMMYFUNCTION("""COMPUTED_VALUE"""),45637.0)</f>
        <v>45637</v>
      </c>
      <c r="B1077" s="23">
        <f>IFERROR(__xludf.DUMMYFUNCTION("""COMPUTED_VALUE"""),0.5258047619047619)</f>
        <v>0.5258047619</v>
      </c>
      <c r="C1077" s="25">
        <f>IFERROR(__xludf.DUMMYFUNCTION("""COMPUTED_VALUE"""),0.432)</f>
        <v>0.432</v>
      </c>
      <c r="D1077" s="25">
        <f>IFERROR(__xludf.DUMMYFUNCTION("""COMPUTED_VALUE"""),0.5994999999999999)</f>
        <v>0.5995</v>
      </c>
      <c r="E1077" s="23">
        <f>IFERROR(__xludf.DUMMYFUNCTION("""COMPUTED_VALUE"""),0.5333185714285714)</f>
        <v>0.5333185714</v>
      </c>
      <c r="F1077" s="23">
        <f>IFERROR(__xludf.DUMMYFUNCTION("""COMPUTED_VALUE"""),0.48678312500000004)</f>
        <v>0.486783125</v>
      </c>
      <c r="G1077" s="23"/>
      <c r="H1077" s="23"/>
      <c r="J1077" s="26"/>
    </row>
    <row r="1078">
      <c r="A1078" s="24">
        <f>IFERROR(__xludf.DUMMYFUNCTION("""COMPUTED_VALUE"""),45638.0)</f>
        <v>45638</v>
      </c>
      <c r="B1078" s="23">
        <f>IFERROR(__xludf.DUMMYFUNCTION("""COMPUTED_VALUE"""),0.5258047619047619)</f>
        <v>0.5258047619</v>
      </c>
      <c r="C1078" s="25">
        <f>IFERROR(__xludf.DUMMYFUNCTION("""COMPUTED_VALUE"""),0.432)</f>
        <v>0.432</v>
      </c>
      <c r="D1078" s="25">
        <f>IFERROR(__xludf.DUMMYFUNCTION("""COMPUTED_VALUE"""),0.5994999999999999)</f>
        <v>0.5995</v>
      </c>
      <c r="E1078" s="23">
        <f>IFERROR(__xludf.DUMMYFUNCTION("""COMPUTED_VALUE"""),0.5316371428571429)</f>
        <v>0.5316371429</v>
      </c>
      <c r="F1078" s="23">
        <f>IFERROR(__xludf.DUMMYFUNCTION("""COMPUTED_VALUE"""),0.48269266785714293)</f>
        <v>0.4826926679</v>
      </c>
      <c r="G1078" s="23"/>
      <c r="H1078" s="23"/>
      <c r="J1078" s="26"/>
    </row>
    <row r="1079">
      <c r="A1079" s="24">
        <f>IFERROR(__xludf.DUMMYFUNCTION("""COMPUTED_VALUE"""),45639.0)</f>
        <v>45639</v>
      </c>
      <c r="B1079" s="23">
        <f>IFERROR(__xludf.DUMMYFUNCTION("""COMPUTED_VALUE"""),0.5258047619047619)</f>
        <v>0.5258047619</v>
      </c>
      <c r="C1079" s="25">
        <f>IFERROR(__xludf.DUMMYFUNCTION("""COMPUTED_VALUE"""),0.432)</f>
        <v>0.432</v>
      </c>
      <c r="D1079" s="25">
        <f>IFERROR(__xludf.DUMMYFUNCTION("""COMPUTED_VALUE"""),0.5994999999999999)</f>
        <v>0.5995</v>
      </c>
      <c r="E1079" s="23">
        <f>IFERROR(__xludf.DUMMYFUNCTION("""COMPUTED_VALUE"""),0.5268221428571429)</f>
        <v>0.5268221429</v>
      </c>
      <c r="F1079" s="23">
        <f>IFERROR(__xludf.DUMMYFUNCTION("""COMPUTED_VALUE"""),0.4767801535714286)</f>
        <v>0.4767801536</v>
      </c>
      <c r="G1079" s="23"/>
      <c r="H1079" s="23"/>
      <c r="J1079" s="26"/>
    </row>
    <row r="1080">
      <c r="A1080" s="24">
        <f>IFERROR(__xludf.DUMMYFUNCTION("""COMPUTED_VALUE"""),45640.0)</f>
        <v>45640</v>
      </c>
      <c r="B1080" s="23">
        <f>IFERROR(__xludf.DUMMYFUNCTION("""COMPUTED_VALUE"""),0.5258047619047619)</f>
        <v>0.5258047619</v>
      </c>
      <c r="C1080" s="25">
        <f>IFERROR(__xludf.DUMMYFUNCTION("""COMPUTED_VALUE"""),0.432)</f>
        <v>0.432</v>
      </c>
      <c r="D1080" s="25">
        <f>IFERROR(__xludf.DUMMYFUNCTION("""COMPUTED_VALUE"""),0.5994999999999999)</f>
        <v>0.5995</v>
      </c>
      <c r="E1080" s="23">
        <f>IFERROR(__xludf.DUMMYFUNCTION("""COMPUTED_VALUE"""),0.5197907142857143)</f>
        <v>0.5197907143</v>
      </c>
      <c r="F1080" s="23">
        <f>IFERROR(__xludf.DUMMYFUNCTION("""COMPUTED_VALUE"""),0.4708676392857143)</f>
        <v>0.4708676393</v>
      </c>
      <c r="G1080" s="23"/>
      <c r="H1080" s="23"/>
      <c r="J1080" s="26"/>
    </row>
    <row r="1081">
      <c r="A1081" s="24">
        <f>IFERROR(__xludf.DUMMYFUNCTION("""COMPUTED_VALUE"""),45641.0)</f>
        <v>45641</v>
      </c>
      <c r="B1081" s="23">
        <f>IFERROR(__xludf.DUMMYFUNCTION("""COMPUTED_VALUE"""),0.5258047619047619)</f>
        <v>0.5258047619</v>
      </c>
      <c r="C1081" s="25">
        <f>IFERROR(__xludf.DUMMYFUNCTION("""COMPUTED_VALUE"""),0.432)</f>
        <v>0.432</v>
      </c>
      <c r="D1081" s="25">
        <f>IFERROR(__xludf.DUMMYFUNCTION("""COMPUTED_VALUE"""),0.5994999999999999)</f>
        <v>0.5995</v>
      </c>
      <c r="E1081" s="23">
        <f>IFERROR(__xludf.DUMMYFUNCTION("""COMPUTED_VALUE"""),0.5127592857142858)</f>
        <v>0.5127592857</v>
      </c>
      <c r="F1081" s="23">
        <f>IFERROR(__xludf.DUMMYFUNCTION("""COMPUTED_VALUE"""),0.46495512499999997)</f>
        <v>0.464955125</v>
      </c>
      <c r="G1081" s="23"/>
      <c r="H1081" s="23"/>
      <c r="J1081" s="26"/>
    </row>
    <row r="1082">
      <c r="A1082" s="24">
        <f>IFERROR(__xludf.DUMMYFUNCTION("""COMPUTED_VALUE"""),45642.0)</f>
        <v>45642</v>
      </c>
      <c r="B1082" s="23">
        <f>IFERROR(__xludf.DUMMYFUNCTION("""COMPUTED_VALUE"""),0.5390190476190477)</f>
        <v>0.5390190476</v>
      </c>
      <c r="C1082" s="25">
        <f>IFERROR(__xludf.DUMMYFUNCTION("""COMPUTED_VALUE"""),0.4525)</f>
        <v>0.4525</v>
      </c>
      <c r="D1082" s="25">
        <f>IFERROR(__xludf.DUMMYFUNCTION("""COMPUTED_VALUE"""),0.651)</f>
        <v>0.651</v>
      </c>
      <c r="E1082" s="23">
        <f>IFERROR(__xludf.DUMMYFUNCTION("""COMPUTED_VALUE"""),0.5058042857142857)</f>
        <v>0.5058042857</v>
      </c>
      <c r="F1082" s="23">
        <f>IFERROR(__xludf.DUMMYFUNCTION("""COMPUTED_VALUE"""),0.4598240928571428)</f>
        <v>0.4598240929</v>
      </c>
      <c r="G1082" s="23"/>
      <c r="H1082" s="23"/>
      <c r="J1082" s="26"/>
    </row>
    <row r="1083">
      <c r="A1083" s="24">
        <f>IFERROR(__xludf.DUMMYFUNCTION("""COMPUTED_VALUE"""),45643.0)</f>
        <v>45643</v>
      </c>
      <c r="B1083" s="23">
        <f>IFERROR(__xludf.DUMMYFUNCTION("""COMPUTED_VALUE"""),0.5390190476190477)</f>
        <v>0.5390190476</v>
      </c>
      <c r="C1083" s="25">
        <f>IFERROR(__xludf.DUMMYFUNCTION("""COMPUTED_VALUE"""),0.4525)</f>
        <v>0.4525</v>
      </c>
      <c r="D1083" s="25">
        <f>IFERROR(__xludf.DUMMYFUNCTION("""COMPUTED_VALUE"""),0.651)</f>
        <v>0.651</v>
      </c>
      <c r="E1083" s="23">
        <f>IFERROR(__xludf.DUMMYFUNCTION("""COMPUTED_VALUE"""),0.4953335714285715)</f>
        <v>0.4953335714</v>
      </c>
      <c r="F1083" s="23">
        <f>IFERROR(__xludf.DUMMYFUNCTION("""COMPUTED_VALUE"""),0.4562854499999999)</f>
        <v>0.45628545</v>
      </c>
      <c r="G1083" s="23"/>
      <c r="H1083" s="23"/>
      <c r="J1083" s="26"/>
    </row>
    <row r="1084">
      <c r="A1084" s="24">
        <f>IFERROR(__xludf.DUMMYFUNCTION("""COMPUTED_VALUE"""),45644.0)</f>
        <v>45644</v>
      </c>
      <c r="B1084" s="23">
        <f>IFERROR(__xludf.DUMMYFUNCTION("""COMPUTED_VALUE"""),0.5390190476190477)</f>
        <v>0.5390190476</v>
      </c>
      <c r="C1084" s="25">
        <f>IFERROR(__xludf.DUMMYFUNCTION("""COMPUTED_VALUE"""),0.4525)</f>
        <v>0.4525</v>
      </c>
      <c r="D1084" s="25">
        <f>IFERROR(__xludf.DUMMYFUNCTION("""COMPUTED_VALUE"""),0.651)</f>
        <v>0.651</v>
      </c>
      <c r="E1084" s="23">
        <f>IFERROR(__xludf.DUMMYFUNCTION("""COMPUTED_VALUE"""),0.4866207142857143)</f>
        <v>0.4866207143</v>
      </c>
      <c r="F1084" s="23">
        <f>IFERROR(__xludf.DUMMYFUNCTION("""COMPUTED_VALUE"""),0.45245637857142856)</f>
        <v>0.4524563786</v>
      </c>
      <c r="G1084" s="23"/>
      <c r="H1084" s="23"/>
      <c r="J1084" s="26"/>
    </row>
    <row r="1085">
      <c r="A1085" s="24">
        <f>IFERROR(__xludf.DUMMYFUNCTION("""COMPUTED_VALUE"""),45645.0)</f>
        <v>45645</v>
      </c>
      <c r="B1085" s="23">
        <f>IFERROR(__xludf.DUMMYFUNCTION("""COMPUTED_VALUE"""),0.5390190476190477)</f>
        <v>0.5390190476</v>
      </c>
      <c r="C1085" s="25">
        <f>IFERROR(__xludf.DUMMYFUNCTION("""COMPUTED_VALUE"""),0.4525)</f>
        <v>0.4525</v>
      </c>
      <c r="D1085" s="25">
        <f>IFERROR(__xludf.DUMMYFUNCTION("""COMPUTED_VALUE"""),0.651)</f>
        <v>0.651</v>
      </c>
      <c r="E1085" s="23">
        <f>IFERROR(__xludf.DUMMYFUNCTION("""COMPUTED_VALUE"""),0.47722)</f>
        <v>0.47722</v>
      </c>
      <c r="F1085" s="23">
        <f>IFERROR(__xludf.DUMMYFUNCTION("""COMPUTED_VALUE"""),0.4536070107142856)</f>
        <v>0.4536070107</v>
      </c>
      <c r="G1085" s="23"/>
      <c r="H1085" s="23"/>
      <c r="J1085" s="26"/>
    </row>
    <row r="1086">
      <c r="A1086" s="24">
        <f>IFERROR(__xludf.DUMMYFUNCTION("""COMPUTED_VALUE"""),45646.0)</f>
        <v>45646</v>
      </c>
      <c r="B1086" s="23">
        <f>IFERROR(__xludf.DUMMYFUNCTION("""COMPUTED_VALUE"""),0.5390190476190477)</f>
        <v>0.5390190476</v>
      </c>
      <c r="C1086" s="25">
        <f>IFERROR(__xludf.DUMMYFUNCTION("""COMPUTED_VALUE"""),0.4525)</f>
        <v>0.4525</v>
      </c>
      <c r="D1086" s="25">
        <f>IFERROR(__xludf.DUMMYFUNCTION("""COMPUTED_VALUE"""),0.651)</f>
        <v>0.651</v>
      </c>
      <c r="E1086" s="23">
        <f>IFERROR(__xludf.DUMMYFUNCTION("""COMPUTED_VALUE"""),0.47271071428571426)</f>
        <v>0.4727107143</v>
      </c>
      <c r="F1086" s="23">
        <f>IFERROR(__xludf.DUMMYFUNCTION("""COMPUTED_VALUE"""),0.4578923607142857)</f>
        <v>0.4578923607</v>
      </c>
      <c r="G1086" s="23"/>
      <c r="H1086" s="23"/>
      <c r="J1086" s="26"/>
    </row>
    <row r="1087">
      <c r="A1087" s="24">
        <f>IFERROR(__xludf.DUMMYFUNCTION("""COMPUTED_VALUE"""),45647.0)</f>
        <v>45647</v>
      </c>
      <c r="B1087" s="23">
        <f>IFERROR(__xludf.DUMMYFUNCTION("""COMPUTED_VALUE"""),0.5390190476190477)</f>
        <v>0.5390190476</v>
      </c>
      <c r="C1087" s="25">
        <f>IFERROR(__xludf.DUMMYFUNCTION("""COMPUTED_VALUE"""),0.4525)</f>
        <v>0.4525</v>
      </c>
      <c r="D1087" s="25">
        <f>IFERROR(__xludf.DUMMYFUNCTION("""COMPUTED_VALUE"""),0.651)</f>
        <v>0.651</v>
      </c>
      <c r="E1087" s="23">
        <f>IFERROR(__xludf.DUMMYFUNCTION("""COMPUTED_VALUE"""),0.47332214285714286)</f>
        <v>0.4733221429</v>
      </c>
      <c r="F1087" s="23">
        <f>IFERROR(__xludf.DUMMYFUNCTION("""COMPUTED_VALUE"""),0.46217771071428565)</f>
        <v>0.4621777107</v>
      </c>
      <c r="G1087" s="23"/>
      <c r="H1087" s="23"/>
      <c r="J1087" s="26"/>
    </row>
    <row r="1088">
      <c r="A1088" s="24">
        <f>IFERROR(__xludf.DUMMYFUNCTION("""COMPUTED_VALUE"""),45648.0)</f>
        <v>45648</v>
      </c>
      <c r="B1088" s="23">
        <f>IFERROR(__xludf.DUMMYFUNCTION("""COMPUTED_VALUE"""),0.5390190476190477)</f>
        <v>0.5390190476</v>
      </c>
      <c r="C1088" s="25">
        <f>IFERROR(__xludf.DUMMYFUNCTION("""COMPUTED_VALUE"""),0.4525)</f>
        <v>0.4525</v>
      </c>
      <c r="D1088" s="25">
        <f>IFERROR(__xludf.DUMMYFUNCTION("""COMPUTED_VALUE"""),0.651)</f>
        <v>0.651</v>
      </c>
      <c r="E1088" s="23">
        <f>IFERROR(__xludf.DUMMYFUNCTION("""COMPUTED_VALUE"""),0.47393357142857134)</f>
        <v>0.4739335714</v>
      </c>
      <c r="F1088" s="23">
        <f>IFERROR(__xludf.DUMMYFUNCTION("""COMPUTED_VALUE"""),0.4664630607142856)</f>
        <v>0.4664630607</v>
      </c>
      <c r="G1088" s="23"/>
      <c r="H1088" s="23"/>
      <c r="J1088" s="26"/>
    </row>
    <row r="1089">
      <c r="A1089" s="24">
        <f>IFERROR(__xludf.DUMMYFUNCTION("""COMPUTED_VALUE"""),45649.0)</f>
        <v>45649</v>
      </c>
      <c r="B1089" s="23">
        <f>IFERROR(__xludf.DUMMYFUNCTION("""COMPUTED_VALUE"""),0.5390190476190477)</f>
        <v>0.5390190476</v>
      </c>
      <c r="C1089" s="25">
        <f>IFERROR(__xludf.DUMMYFUNCTION("""COMPUTED_VALUE"""),0.4525)</f>
        <v>0.4525</v>
      </c>
      <c r="D1089" s="25">
        <f>IFERROR(__xludf.DUMMYFUNCTION("""COMPUTED_VALUE"""),0.651)</f>
        <v>0.651</v>
      </c>
      <c r="E1089" s="23">
        <f>IFERROR(__xludf.DUMMYFUNCTION("""COMPUTED_VALUE"""),0.4738571428571428)</f>
        <v>0.4738571429</v>
      </c>
      <c r="F1089" s="23">
        <f>IFERROR(__xludf.DUMMYFUNCTION("""COMPUTED_VALUE"""),0.4719456642857142)</f>
        <v>0.4719456643</v>
      </c>
      <c r="G1089" s="23"/>
      <c r="H1089" s="23"/>
      <c r="J1089" s="26"/>
    </row>
    <row r="1090">
      <c r="A1090" s="24">
        <f>IFERROR(__xludf.DUMMYFUNCTION("""COMPUTED_VALUE"""),45650.0)</f>
        <v>45650</v>
      </c>
      <c r="B1090" s="23">
        <f>IFERROR(__xludf.DUMMYFUNCTION("""COMPUTED_VALUE"""),0.5390190476190477)</f>
        <v>0.5390190476</v>
      </c>
      <c r="C1090" s="25">
        <f>IFERROR(__xludf.DUMMYFUNCTION("""COMPUTED_VALUE"""),0.4525)</f>
        <v>0.4525</v>
      </c>
      <c r="D1090" s="25">
        <f>IFERROR(__xludf.DUMMYFUNCTION("""COMPUTED_VALUE"""),0.651)</f>
        <v>0.651</v>
      </c>
      <c r="E1090" s="23">
        <f>IFERROR(__xludf.DUMMYFUNCTION("""COMPUTED_VALUE"""),0.47851928571428565)</f>
        <v>0.4785192857</v>
      </c>
      <c r="F1090" s="23">
        <f>IFERROR(__xludf.DUMMYFUNCTION("""COMPUTED_VALUE"""),0.4748319892857142)</f>
        <v>0.4748319893</v>
      </c>
      <c r="G1090" s="23"/>
      <c r="H1090" s="23"/>
      <c r="J1090" s="26"/>
    </row>
    <row r="1091">
      <c r="A1091" s="24">
        <f>IFERROR(__xludf.DUMMYFUNCTION("""COMPUTED_VALUE"""),45651.0)</f>
        <v>45651</v>
      </c>
      <c r="B1091" s="23">
        <f>IFERROR(__xludf.DUMMYFUNCTION("""COMPUTED_VALUE"""),0.5390190476190477)</f>
        <v>0.5390190476</v>
      </c>
      <c r="C1091" s="25">
        <f>IFERROR(__xludf.DUMMYFUNCTION("""COMPUTED_VALUE"""),0.4525)</f>
        <v>0.4525</v>
      </c>
      <c r="D1091" s="25">
        <f>IFERROR(__xludf.DUMMYFUNCTION("""COMPUTED_VALUE"""),0.651)</f>
        <v>0.651</v>
      </c>
      <c r="E1091" s="23">
        <f>IFERROR(__xludf.DUMMYFUNCTION("""COMPUTED_VALUE"""),0.48279928571428565)</f>
        <v>0.4827992857</v>
      </c>
      <c r="F1091" s="23">
        <f>IFERROR(__xludf.DUMMYFUNCTION("""COMPUTED_VALUE"""),0.4788028357142856)</f>
        <v>0.4788028357</v>
      </c>
      <c r="G1091" s="23"/>
      <c r="H1091" s="23"/>
      <c r="J1091" s="26"/>
    </row>
    <row r="1092">
      <c r="A1092" s="24">
        <f>IFERROR(__xludf.DUMMYFUNCTION("""COMPUTED_VALUE"""),45652.0)</f>
        <v>45652</v>
      </c>
      <c r="B1092" s="23">
        <f>IFERROR(__xludf.DUMMYFUNCTION("""COMPUTED_VALUE"""),0.5390190476190477)</f>
        <v>0.5390190476</v>
      </c>
      <c r="C1092" s="25">
        <f>IFERROR(__xludf.DUMMYFUNCTION("""COMPUTED_VALUE"""),0.4525)</f>
        <v>0.4525</v>
      </c>
      <c r="D1092" s="25">
        <f>IFERROR(__xludf.DUMMYFUNCTION("""COMPUTED_VALUE"""),0.651)</f>
        <v>0.651</v>
      </c>
      <c r="E1092" s="23">
        <f>IFERROR(__xludf.DUMMYFUNCTION("""COMPUTED_VALUE"""),0.4883785714285714)</f>
        <v>0.4883785714</v>
      </c>
      <c r="F1092" s="23">
        <f>IFERROR(__xludf.DUMMYFUNCTION("""COMPUTED_VALUE"""),0.48005549999999986)</f>
        <v>0.4800555</v>
      </c>
      <c r="G1092" s="23"/>
      <c r="H1092" s="23"/>
      <c r="J1092" s="26"/>
    </row>
    <row r="1093">
      <c r="A1093" s="24">
        <f>IFERROR(__xludf.DUMMYFUNCTION("""COMPUTED_VALUE"""),45653.0)</f>
        <v>45653</v>
      </c>
      <c r="B1093" s="23">
        <f>IFERROR(__xludf.DUMMYFUNCTION("""COMPUTED_VALUE"""),0.5390190476190477)</f>
        <v>0.5390190476</v>
      </c>
      <c r="C1093" s="25">
        <f>IFERROR(__xludf.DUMMYFUNCTION("""COMPUTED_VALUE"""),0.4525)</f>
        <v>0.4525</v>
      </c>
      <c r="D1093" s="25">
        <f>IFERROR(__xludf.DUMMYFUNCTION("""COMPUTED_VALUE"""),0.651)</f>
        <v>0.651</v>
      </c>
      <c r="E1093" s="23">
        <f>IFERROR(__xludf.DUMMYFUNCTION("""COMPUTED_VALUE"""),0.49403428571428565)</f>
        <v>0.4940342857</v>
      </c>
      <c r="F1093" s="23">
        <f>IFERROR(__xludf.DUMMYFUNCTION("""COMPUTED_VALUE"""),0.48544065714285706)</f>
        <v>0.4854406571</v>
      </c>
      <c r="G1093" s="23"/>
      <c r="H1093" s="23"/>
      <c r="J1093" s="26"/>
    </row>
    <row r="1094">
      <c r="A1094" s="24">
        <f>IFERROR(__xludf.DUMMYFUNCTION("""COMPUTED_VALUE"""),45654.0)</f>
        <v>45654</v>
      </c>
      <c r="B1094" s="23">
        <f>IFERROR(__xludf.DUMMYFUNCTION("""COMPUTED_VALUE"""),0.5390190476190477)</f>
        <v>0.5390190476</v>
      </c>
      <c r="C1094" s="25">
        <f>IFERROR(__xludf.DUMMYFUNCTION("""COMPUTED_VALUE"""),0.4525)</f>
        <v>0.4525</v>
      </c>
      <c r="D1094" s="25">
        <f>IFERROR(__xludf.DUMMYFUNCTION("""COMPUTED_VALUE"""),0.651)</f>
        <v>0.651</v>
      </c>
      <c r="E1094" s="23">
        <f>IFERROR(__xludf.DUMMYFUNCTION("""COMPUTED_VALUE"""),0.500912857142857)</f>
        <v>0.5009128571</v>
      </c>
      <c r="F1094" s="23">
        <f>IFERROR(__xludf.DUMMYFUNCTION("""COMPUTED_VALUE"""),0.4908258142857142)</f>
        <v>0.4908258143</v>
      </c>
      <c r="G1094" s="23"/>
      <c r="H1094" s="23"/>
      <c r="J1094" s="26"/>
    </row>
    <row r="1095">
      <c r="A1095" s="24">
        <f>IFERROR(__xludf.DUMMYFUNCTION("""COMPUTED_VALUE"""),45655.0)</f>
        <v>45655</v>
      </c>
      <c r="B1095" s="23">
        <f>IFERROR(__xludf.DUMMYFUNCTION("""COMPUTED_VALUE"""),0.5390190476190477)</f>
        <v>0.5390190476</v>
      </c>
      <c r="C1095" s="25">
        <f>IFERROR(__xludf.DUMMYFUNCTION("""COMPUTED_VALUE"""),0.4525)</f>
        <v>0.4525</v>
      </c>
      <c r="D1095" s="25">
        <f>IFERROR(__xludf.DUMMYFUNCTION("""COMPUTED_VALUE"""),0.651)</f>
        <v>0.651</v>
      </c>
      <c r="E1095" s="23">
        <f>IFERROR(__xludf.DUMMYFUNCTION("""COMPUTED_VALUE"""),0.5077914285714286)</f>
        <v>0.5077914286</v>
      </c>
      <c r="F1095" s="23">
        <f>IFERROR(__xludf.DUMMYFUNCTION("""COMPUTED_VALUE"""),0.49621097142857135)</f>
        <v>0.4962109714</v>
      </c>
      <c r="G1095" s="23"/>
      <c r="H1095" s="23"/>
      <c r="J1095" s="26"/>
    </row>
    <row r="1096">
      <c r="A1096" s="24">
        <f>IFERROR(__xludf.DUMMYFUNCTION("""COMPUTED_VALUE"""),45656.0)</f>
        <v>45656</v>
      </c>
      <c r="B1096" s="23">
        <f>IFERROR(__xludf.DUMMYFUNCTION("""COMPUTED_VALUE"""),0.5390190476190477)</f>
        <v>0.5390190476</v>
      </c>
      <c r="C1096" s="25">
        <f>IFERROR(__xludf.DUMMYFUNCTION("""COMPUTED_VALUE"""),0.4525)</f>
        <v>0.4525</v>
      </c>
      <c r="D1096" s="25">
        <f>IFERROR(__xludf.DUMMYFUNCTION("""COMPUTED_VALUE"""),0.651)</f>
        <v>0.651</v>
      </c>
      <c r="E1096" s="23">
        <f>IFERROR(__xludf.DUMMYFUNCTION("""COMPUTED_VALUE"""),0.5136764285714285)</f>
        <v>0.5136764286</v>
      </c>
      <c r="F1096" s="23">
        <f>IFERROR(__xludf.DUMMYFUNCTION("""COMPUTED_VALUE"""),0.49895552142857136)</f>
        <v>0.4989555214</v>
      </c>
      <c r="G1096" s="23"/>
      <c r="H1096" s="23"/>
      <c r="J1096" s="26"/>
    </row>
    <row r="1097">
      <c r="A1097" s="24">
        <f>IFERROR(__xludf.DUMMYFUNCTION("""COMPUTED_VALUE"""),45657.0)</f>
        <v>45657</v>
      </c>
      <c r="B1097" s="23">
        <f>IFERROR(__xludf.DUMMYFUNCTION("""COMPUTED_VALUE"""),0.5390190476190477)</f>
        <v>0.5390190476</v>
      </c>
      <c r="C1097" s="25">
        <f>IFERROR(__xludf.DUMMYFUNCTION("""COMPUTED_VALUE"""),0.4525)</f>
        <v>0.4525</v>
      </c>
      <c r="D1097" s="25">
        <f>IFERROR(__xludf.DUMMYFUNCTION("""COMPUTED_VALUE"""),0.651)</f>
        <v>0.651</v>
      </c>
      <c r="E1097" s="23">
        <f>IFERROR(__xludf.DUMMYFUNCTION("""COMPUTED_VALUE"""),0.5181092857142857)</f>
        <v>0.5181092857</v>
      </c>
      <c r="F1097" s="23">
        <f>IFERROR(__xludf.DUMMYFUNCTION("""COMPUTED_VALUE"""),0.5036795714285713)</f>
        <v>0.5036795714</v>
      </c>
      <c r="G1097" s="23"/>
      <c r="H1097" s="23"/>
      <c r="J1097" s="26"/>
    </row>
    <row r="1098">
      <c r="A1098" s="24">
        <f>IFERROR(__xludf.DUMMYFUNCTION("""COMPUTED_VALUE"""),45658.0)</f>
        <v>45658</v>
      </c>
      <c r="B1098" s="23">
        <f>IFERROR(__xludf.DUMMYFUNCTION("""COMPUTED_VALUE"""),0.5390190476190477)</f>
        <v>0.5390190476</v>
      </c>
      <c r="C1098" s="25">
        <f>IFERROR(__xludf.DUMMYFUNCTION("""COMPUTED_VALUE"""),0.4525)</f>
        <v>0.4525</v>
      </c>
      <c r="D1098" s="25">
        <f>IFERROR(__xludf.DUMMYFUNCTION("""COMPUTED_VALUE"""),0.651)</f>
        <v>0.651</v>
      </c>
      <c r="E1098" s="23">
        <f>IFERROR(__xludf.DUMMYFUNCTION("""COMPUTED_VALUE"""),0.5207842857142857)</f>
        <v>0.5207842857</v>
      </c>
      <c r="F1098" s="23">
        <f>IFERROR(__xludf.DUMMYFUNCTION("""COMPUTED_VALUE"""),0.5084036214285714)</f>
        <v>0.5084036214</v>
      </c>
      <c r="G1098" s="23"/>
      <c r="H1098" s="23"/>
      <c r="J1098" s="26"/>
    </row>
    <row r="1099">
      <c r="A1099" s="24">
        <f>IFERROR(__xludf.DUMMYFUNCTION("""COMPUTED_VALUE"""),45659.0)</f>
        <v>45659</v>
      </c>
      <c r="B1099" s="23">
        <f>IFERROR(__xludf.DUMMYFUNCTION("""COMPUTED_VALUE"""),0.5390190476190477)</f>
        <v>0.5390190476</v>
      </c>
      <c r="C1099" s="25">
        <f>IFERROR(__xludf.DUMMYFUNCTION("""COMPUTED_VALUE"""),0.4525)</f>
        <v>0.4525</v>
      </c>
      <c r="D1099" s="25">
        <f>IFERROR(__xludf.DUMMYFUNCTION("""COMPUTED_VALUE"""),0.651)</f>
        <v>0.651</v>
      </c>
      <c r="E1099" s="23">
        <f>IFERROR(__xludf.DUMMYFUNCTION("""COMPUTED_VALUE"""),0.5246057142857143)</f>
        <v>0.5246057143</v>
      </c>
      <c r="F1099" s="23">
        <f>IFERROR(__xludf.DUMMYFUNCTION("""COMPUTED_VALUE"""),0.5146394285714285)</f>
        <v>0.5146394286</v>
      </c>
      <c r="G1099" s="23"/>
      <c r="H1099" s="23"/>
      <c r="J1099" s="26"/>
    </row>
    <row r="1100">
      <c r="A1100" s="24">
        <f>IFERROR(__xludf.DUMMYFUNCTION("""COMPUTED_VALUE"""),45660.0)</f>
        <v>45660</v>
      </c>
      <c r="B1100" s="23">
        <f>IFERROR(__xludf.DUMMYFUNCTION("""COMPUTED_VALUE"""),0.5390190476190477)</f>
        <v>0.5390190476</v>
      </c>
      <c r="C1100" s="25">
        <f>IFERROR(__xludf.DUMMYFUNCTION("""COMPUTED_VALUE"""),0.4525)</f>
        <v>0.4525</v>
      </c>
      <c r="D1100" s="25">
        <f>IFERROR(__xludf.DUMMYFUNCTION("""COMPUTED_VALUE"""),0.651)</f>
        <v>0.651</v>
      </c>
      <c r="E1100" s="23">
        <f>IFERROR(__xludf.DUMMYFUNCTION("""COMPUTED_VALUE"""),0.5290385714285715)</f>
        <v>0.5290385714</v>
      </c>
      <c r="F1100" s="23">
        <f>IFERROR(__xludf.DUMMYFUNCTION("""COMPUTED_VALUE"""),0.5150551999999999)</f>
        <v>0.5150552</v>
      </c>
      <c r="G1100" s="23"/>
      <c r="H1100" s="23"/>
      <c r="J1100" s="26"/>
    </row>
    <row r="1101">
      <c r="A1101" s="24">
        <f>IFERROR(__xludf.DUMMYFUNCTION("""COMPUTED_VALUE"""),45661.0)</f>
        <v>45661</v>
      </c>
      <c r="B1101" s="23">
        <f>IFERROR(__xludf.DUMMYFUNCTION("""COMPUTED_VALUE"""),0.5390190476190477)</f>
        <v>0.5390190476</v>
      </c>
      <c r="C1101" s="25">
        <f>IFERROR(__xludf.DUMMYFUNCTION("""COMPUTED_VALUE"""),0.4525)</f>
        <v>0.4525</v>
      </c>
      <c r="D1101" s="25">
        <f>IFERROR(__xludf.DUMMYFUNCTION("""COMPUTED_VALUE"""),0.651)</f>
        <v>0.651</v>
      </c>
      <c r="E1101" s="23">
        <f>IFERROR(__xludf.DUMMYFUNCTION("""COMPUTED_VALUE"""),0.5316371428571428)</f>
        <v>0.5316371429</v>
      </c>
      <c r="F1101" s="23">
        <f>IFERROR(__xludf.DUMMYFUNCTION("""COMPUTED_VALUE"""),0.5154709714285712)</f>
        <v>0.5154709714</v>
      </c>
      <c r="G1101" s="23"/>
      <c r="H1101" s="23"/>
      <c r="J1101" s="26"/>
    </row>
    <row r="1102">
      <c r="A1102" s="24">
        <f>IFERROR(__xludf.DUMMYFUNCTION("""COMPUTED_VALUE"""),45662.0)</f>
        <v>45662</v>
      </c>
      <c r="B1102" s="23">
        <f>IFERROR(__xludf.DUMMYFUNCTION("""COMPUTED_VALUE"""),0.5390190476190477)</f>
        <v>0.5390190476</v>
      </c>
      <c r="C1102" s="25">
        <f>IFERROR(__xludf.DUMMYFUNCTION("""COMPUTED_VALUE"""),0.4525)</f>
        <v>0.4525</v>
      </c>
      <c r="D1102" s="25">
        <f>IFERROR(__xludf.DUMMYFUNCTION("""COMPUTED_VALUE"""),0.651)</f>
        <v>0.651</v>
      </c>
      <c r="E1102" s="23">
        <f>IFERROR(__xludf.DUMMYFUNCTION("""COMPUTED_VALUE"""),0.5342357142857143)</f>
        <v>0.5342357143</v>
      </c>
      <c r="F1102" s="23">
        <f>IFERROR(__xludf.DUMMYFUNCTION("""COMPUTED_VALUE"""),0.5158867428571428)</f>
        <v>0.5158867429</v>
      </c>
      <c r="G1102" s="23"/>
      <c r="H1102" s="23"/>
      <c r="J1102" s="26"/>
    </row>
    <row r="1103">
      <c r="A1103" s="24">
        <f>IFERROR(__xludf.DUMMYFUNCTION("""COMPUTED_VALUE"""),45663.0)</f>
        <v>45663</v>
      </c>
      <c r="B1103" s="23">
        <f>IFERROR(__xludf.DUMMYFUNCTION("""COMPUTED_VALUE"""),0.5390190476190477)</f>
        <v>0.5390190476</v>
      </c>
      <c r="C1103" s="25">
        <f>IFERROR(__xludf.DUMMYFUNCTION("""COMPUTED_VALUE"""),0.4525)</f>
        <v>0.4525</v>
      </c>
      <c r="D1103" s="25">
        <f>IFERROR(__xludf.DUMMYFUNCTION("""COMPUTED_VALUE"""),0.651)</f>
        <v>0.651</v>
      </c>
      <c r="E1103" s="23">
        <f>IFERROR(__xludf.DUMMYFUNCTION("""COMPUTED_VALUE"""),0.5365285714285715)</f>
        <v>0.5365285714</v>
      </c>
      <c r="F1103" s="23">
        <f>IFERROR(__xludf.DUMMYFUNCTION("""COMPUTED_VALUE"""),0.5165302714285714)</f>
        <v>0.5165302714</v>
      </c>
      <c r="G1103" s="23"/>
      <c r="H1103" s="23"/>
      <c r="J1103" s="26"/>
    </row>
    <row r="1104">
      <c r="A1104" s="24">
        <f>IFERROR(__xludf.DUMMYFUNCTION("""COMPUTED_VALUE"""),45664.0)</f>
        <v>45664</v>
      </c>
      <c r="B1104" s="23">
        <f>IFERROR(__xludf.DUMMYFUNCTION("""COMPUTED_VALUE"""),0.5390190476190477)</f>
        <v>0.5390190476</v>
      </c>
      <c r="C1104" s="25">
        <f>IFERROR(__xludf.DUMMYFUNCTION("""COMPUTED_VALUE"""),0.4525)</f>
        <v>0.4525</v>
      </c>
      <c r="D1104" s="25">
        <f>IFERROR(__xludf.DUMMYFUNCTION("""COMPUTED_VALUE"""),0.651)</f>
        <v>0.651</v>
      </c>
      <c r="E1104" s="23">
        <f>IFERROR(__xludf.DUMMYFUNCTION("""COMPUTED_VALUE"""),0.5388978571428572)</f>
        <v>0.5388978571</v>
      </c>
      <c r="F1104" s="23">
        <f>IFERROR(__xludf.DUMMYFUNCTION("""COMPUTED_VALUE"""),0.5156624249999999)</f>
        <v>0.515662425</v>
      </c>
      <c r="G1104" s="23"/>
      <c r="H1104" s="23"/>
      <c r="J1104" s="26"/>
    </row>
    <row r="1105">
      <c r="A1105" s="24">
        <f>IFERROR(__xludf.DUMMYFUNCTION("""COMPUTED_VALUE"""),45665.0)</f>
        <v>45665</v>
      </c>
      <c r="B1105" s="23">
        <f>IFERROR(__xludf.DUMMYFUNCTION("""COMPUTED_VALUE"""),0.5390190476190477)</f>
        <v>0.5390190476</v>
      </c>
      <c r="C1105" s="25">
        <f>IFERROR(__xludf.DUMMYFUNCTION("""COMPUTED_VALUE"""),0.4525)</f>
        <v>0.4525</v>
      </c>
      <c r="D1105" s="25">
        <f>IFERROR(__xludf.DUMMYFUNCTION("""COMPUTED_VALUE"""),0.651)</f>
        <v>0.651</v>
      </c>
      <c r="E1105" s="23">
        <f>IFERROR(__xludf.DUMMYFUNCTION("""COMPUTED_VALUE"""),0.5375985714285715)</f>
        <v>0.5375985714</v>
      </c>
      <c r="F1105" s="23">
        <f>IFERROR(__xludf.DUMMYFUNCTION("""COMPUTED_VALUE"""),0.5122655571428572)</f>
        <v>0.5122655571</v>
      </c>
      <c r="G1105" s="23"/>
      <c r="H1105" s="23"/>
      <c r="J1105" s="26"/>
    </row>
    <row r="1106">
      <c r="A1106" s="24">
        <f>IFERROR(__xludf.DUMMYFUNCTION("""COMPUTED_VALUE"""),45666.0)</f>
        <v>45666</v>
      </c>
      <c r="B1106" s="23">
        <f>IFERROR(__xludf.DUMMYFUNCTION("""COMPUTED_VALUE"""),0.5390190476190477)</f>
        <v>0.5390190476</v>
      </c>
      <c r="C1106" s="25">
        <f>IFERROR(__xludf.DUMMYFUNCTION("""COMPUTED_VALUE"""),0.4525)</f>
        <v>0.4525</v>
      </c>
      <c r="D1106" s="25">
        <f>IFERROR(__xludf.DUMMYFUNCTION("""COMPUTED_VALUE"""),0.651)</f>
        <v>0.651</v>
      </c>
      <c r="E1106" s="23">
        <f>IFERROR(__xludf.DUMMYFUNCTION("""COMPUTED_VALUE"""),0.53393)</f>
        <v>0.53393</v>
      </c>
      <c r="F1106" s="23">
        <f>IFERROR(__xludf.DUMMYFUNCTION("""COMPUTED_VALUE"""),0.5068490642857142)</f>
        <v>0.5068490643</v>
      </c>
      <c r="G1106" s="23"/>
      <c r="H1106" s="23"/>
      <c r="J1106" s="26"/>
    </row>
    <row r="1107">
      <c r="A1107" s="24">
        <f>IFERROR(__xludf.DUMMYFUNCTION("""COMPUTED_VALUE"""),45667.0)</f>
        <v>45667</v>
      </c>
      <c r="B1107" s="23">
        <f>IFERROR(__xludf.DUMMYFUNCTION("""COMPUTED_VALUE"""),0.5390190476190477)</f>
        <v>0.5390190476</v>
      </c>
      <c r="C1107" s="25">
        <f>IFERROR(__xludf.DUMMYFUNCTION("""COMPUTED_VALUE"""),0.4525)</f>
        <v>0.4525</v>
      </c>
      <c r="D1107" s="25">
        <f>IFERROR(__xludf.DUMMYFUNCTION("""COMPUTED_VALUE"""),0.651)</f>
        <v>0.651</v>
      </c>
      <c r="E1107" s="23">
        <f>IFERROR(__xludf.DUMMYFUNCTION("""COMPUTED_VALUE"""),0.5268985714285714)</f>
        <v>0.5268985714</v>
      </c>
      <c r="F1107" s="23">
        <f>IFERROR(__xludf.DUMMYFUNCTION("""COMPUTED_VALUE"""),0.5022637321428571)</f>
        <v>0.5022637321</v>
      </c>
      <c r="G1107" s="23"/>
      <c r="H1107" s="23"/>
      <c r="J1107" s="26"/>
    </row>
    <row r="1108">
      <c r="A1108" s="24">
        <f>IFERROR(__xludf.DUMMYFUNCTION("""COMPUTED_VALUE"""),45668.0)</f>
        <v>45668</v>
      </c>
      <c r="B1108" s="23">
        <f>IFERROR(__xludf.DUMMYFUNCTION("""COMPUTED_VALUE"""),0.5390190476190477)</f>
        <v>0.5390190476</v>
      </c>
      <c r="C1108" s="25">
        <f>IFERROR(__xludf.DUMMYFUNCTION("""COMPUTED_VALUE"""),0.4525)</f>
        <v>0.4525</v>
      </c>
      <c r="D1108" s="25">
        <f>IFERROR(__xludf.DUMMYFUNCTION("""COMPUTED_VALUE"""),0.651)</f>
        <v>0.651</v>
      </c>
      <c r="E1108" s="23">
        <f>IFERROR(__xludf.DUMMYFUNCTION("""COMPUTED_VALUE"""),0.5209371428571429)</f>
        <v>0.5209371429</v>
      </c>
      <c r="F1108" s="23">
        <f>IFERROR(__xludf.DUMMYFUNCTION("""COMPUTED_VALUE"""),0.49767839999999997)</f>
        <v>0.4976784</v>
      </c>
      <c r="G1108" s="23"/>
      <c r="H1108" s="23"/>
      <c r="J1108" s="26"/>
    </row>
    <row r="1109">
      <c r="A1109" s="24">
        <f>IFERROR(__xludf.DUMMYFUNCTION("""COMPUTED_VALUE"""),45669.0)</f>
        <v>45669</v>
      </c>
      <c r="B1109" s="23">
        <f>IFERROR(__xludf.DUMMYFUNCTION("""COMPUTED_VALUE"""),0.5390190476190477)</f>
        <v>0.5390190476</v>
      </c>
      <c r="C1109" s="25">
        <f>IFERROR(__xludf.DUMMYFUNCTION("""COMPUTED_VALUE"""),0.4525)</f>
        <v>0.4525</v>
      </c>
      <c r="D1109" s="25">
        <f>IFERROR(__xludf.DUMMYFUNCTION("""COMPUTED_VALUE"""),0.651)</f>
        <v>0.651</v>
      </c>
      <c r="E1109" s="23">
        <f>IFERROR(__xludf.DUMMYFUNCTION("""COMPUTED_VALUE"""),0.5149757142857142)</f>
        <v>0.5149757143</v>
      </c>
      <c r="F1109" s="23">
        <f>IFERROR(__xludf.DUMMYFUNCTION("""COMPUTED_VALUE"""),0.4930930678571429)</f>
        <v>0.4930930679</v>
      </c>
      <c r="G1109" s="23"/>
      <c r="H1109" s="23"/>
      <c r="J1109" s="26"/>
    </row>
    <row r="1110">
      <c r="A1110" s="24">
        <f>IFERROR(__xludf.DUMMYFUNCTION("""COMPUTED_VALUE"""),45670.0)</f>
        <v>45670</v>
      </c>
      <c r="B1110" s="23">
        <f>IFERROR(__xludf.DUMMYFUNCTION("""COMPUTED_VALUE"""),0.5390190476190477)</f>
        <v>0.5390190476</v>
      </c>
      <c r="C1110" s="25">
        <f>IFERROR(__xludf.DUMMYFUNCTION("""COMPUTED_VALUE"""),0.4525)</f>
        <v>0.4525</v>
      </c>
      <c r="D1110" s="25">
        <f>IFERROR(__xludf.DUMMYFUNCTION("""COMPUTED_VALUE"""),0.651)</f>
        <v>0.651</v>
      </c>
      <c r="E1110" s="23">
        <f>IFERROR(__xludf.DUMMYFUNCTION("""COMPUTED_VALUE"""),0.5126064285714286)</f>
        <v>0.5126064286</v>
      </c>
      <c r="F1110" s="23">
        <f>IFERROR(__xludf.DUMMYFUNCTION("""COMPUTED_VALUE"""),0.4953278392857143)</f>
        <v>0.4953278393</v>
      </c>
      <c r="G1110" s="23"/>
      <c r="H1110" s="23"/>
      <c r="J1110" s="26"/>
    </row>
    <row r="1111">
      <c r="A1111" s="24">
        <f>IFERROR(__xludf.DUMMYFUNCTION("""COMPUTED_VALUE"""),45671.0)</f>
        <v>45671</v>
      </c>
      <c r="B1111" s="23">
        <f>IFERROR(__xludf.DUMMYFUNCTION("""COMPUTED_VALUE"""),0.5390190476190477)</f>
        <v>0.5390190476</v>
      </c>
      <c r="C1111" s="25">
        <f>IFERROR(__xludf.DUMMYFUNCTION("""COMPUTED_VALUE"""),0.4525)</f>
        <v>0.4525</v>
      </c>
      <c r="D1111" s="25">
        <f>IFERROR(__xludf.DUMMYFUNCTION("""COMPUTED_VALUE"""),0.651)</f>
        <v>0.651</v>
      </c>
      <c r="E1111" s="23">
        <f>IFERROR(__xludf.DUMMYFUNCTION("""COMPUTED_VALUE"""),0.5145935714285714)</f>
        <v>0.5145935714</v>
      </c>
      <c r="F1111" s="23">
        <f>IFERROR(__xludf.DUMMYFUNCTION("""COMPUTED_VALUE"""),0.49503702857142845)</f>
        <v>0.4950370286</v>
      </c>
      <c r="G1111" s="23"/>
      <c r="H1111" s="23"/>
      <c r="J1111" s="26"/>
    </row>
    <row r="1112">
      <c r="A1112" s="24">
        <f>IFERROR(__xludf.DUMMYFUNCTION("""COMPUTED_VALUE"""),45672.0)</f>
        <v>45672</v>
      </c>
      <c r="B1112" s="23">
        <f>IFERROR(__xludf.DUMMYFUNCTION("""COMPUTED_VALUE"""),0.5390190476190477)</f>
        <v>0.5390190476</v>
      </c>
      <c r="C1112" s="25">
        <f>IFERROR(__xludf.DUMMYFUNCTION("""COMPUTED_VALUE"""),0.4525)</f>
        <v>0.4525</v>
      </c>
      <c r="D1112" s="25">
        <f>IFERROR(__xludf.DUMMYFUNCTION("""COMPUTED_VALUE"""),0.651)</f>
        <v>0.651</v>
      </c>
      <c r="E1112" s="23">
        <f>IFERROR(__xludf.DUMMYFUNCTION("""COMPUTED_VALUE"""),0.519485)</f>
        <v>0.519485</v>
      </c>
      <c r="F1112" s="23">
        <f>IFERROR(__xludf.DUMMYFUNCTION("""COMPUTED_VALUE"""),0.4971143571428572)</f>
        <v>0.4971143571</v>
      </c>
      <c r="G1112" s="23"/>
      <c r="H1112" s="23"/>
      <c r="J1112" s="26"/>
    </row>
    <row r="1113">
      <c r="A1113" s="24">
        <f>IFERROR(__xludf.DUMMYFUNCTION("""COMPUTED_VALUE"""),45673.0)</f>
        <v>45673</v>
      </c>
      <c r="B1113" s="23">
        <f>IFERROR(__xludf.DUMMYFUNCTION("""COMPUTED_VALUE"""),0.5390190476190477)</f>
        <v>0.5390190476</v>
      </c>
      <c r="C1113" s="25">
        <f>IFERROR(__xludf.DUMMYFUNCTION("""COMPUTED_VALUE"""),0.4525)</f>
        <v>0.4525</v>
      </c>
      <c r="D1113" s="25">
        <f>IFERROR(__xludf.DUMMYFUNCTION("""COMPUTED_VALUE"""),0.651)</f>
        <v>0.651</v>
      </c>
      <c r="E1113" s="23">
        <f>IFERROR(__xludf.DUMMYFUNCTION("""COMPUTED_VALUE"""),0.5256757142857144)</f>
        <v>0.5256757143</v>
      </c>
      <c r="F1113" s="23">
        <f>IFERROR(__xludf.DUMMYFUNCTION("""COMPUTED_VALUE"""),0.49914582857142864)</f>
        <v>0.4991458286</v>
      </c>
      <c r="G1113" s="23"/>
      <c r="H1113" s="23"/>
      <c r="J1113" s="26"/>
    </row>
    <row r="1114">
      <c r="A1114" s="24">
        <f>IFERROR(__xludf.DUMMYFUNCTION("""COMPUTED_VALUE"""),45674.0)</f>
        <v>45674</v>
      </c>
      <c r="B1114" s="23">
        <f>IFERROR(__xludf.DUMMYFUNCTION("""COMPUTED_VALUE"""),0.5390190476190477)</f>
        <v>0.5390190476</v>
      </c>
      <c r="C1114" s="25">
        <f>IFERROR(__xludf.DUMMYFUNCTION("""COMPUTED_VALUE"""),0.4525)</f>
        <v>0.4525</v>
      </c>
      <c r="D1114" s="25">
        <f>IFERROR(__xludf.DUMMYFUNCTION("""COMPUTED_VALUE"""),0.651)</f>
        <v>0.651</v>
      </c>
      <c r="E1114" s="23">
        <f>IFERROR(__xludf.DUMMYFUNCTION("""COMPUTED_VALUE"""),0.5311021428571429)</f>
        <v>0.5311021429</v>
      </c>
      <c r="F1114" s="23">
        <f>IFERROR(__xludf.DUMMYFUNCTION("""COMPUTED_VALUE"""),0.5018984035714286)</f>
        <v>0.5018984036</v>
      </c>
      <c r="G1114" s="23"/>
      <c r="H1114" s="23"/>
      <c r="J1114" s="26"/>
    </row>
    <row r="1115">
      <c r="A1115" s="24">
        <f>IFERROR(__xludf.DUMMYFUNCTION("""COMPUTED_VALUE"""),45675.0)</f>
        <v>45675</v>
      </c>
      <c r="B1115" s="23">
        <f>IFERROR(__xludf.DUMMYFUNCTION("""COMPUTED_VALUE"""),0.5390190476190477)</f>
        <v>0.5390190476</v>
      </c>
      <c r="C1115" s="25">
        <f>IFERROR(__xludf.DUMMYFUNCTION("""COMPUTED_VALUE"""),0.4525)</f>
        <v>0.4525</v>
      </c>
      <c r="D1115" s="25">
        <f>IFERROR(__xludf.DUMMYFUNCTION("""COMPUTED_VALUE"""),0.651)</f>
        <v>0.651</v>
      </c>
      <c r="E1115" s="23">
        <f>IFERROR(__xludf.DUMMYFUNCTION("""COMPUTED_VALUE"""),0.5340828571428572)</f>
        <v>0.5340828571</v>
      </c>
      <c r="F1115" s="23">
        <f>IFERROR(__xludf.DUMMYFUNCTION("""COMPUTED_VALUE"""),0.5046509785714285)</f>
        <v>0.5046509786</v>
      </c>
      <c r="G1115" s="23"/>
      <c r="H1115" s="23"/>
      <c r="J1115" s="26"/>
    </row>
    <row r="1116">
      <c r="A1116" s="24">
        <f>IFERROR(__xludf.DUMMYFUNCTION("""COMPUTED_VALUE"""),45676.0)</f>
        <v>45676</v>
      </c>
      <c r="B1116" s="23">
        <f>IFERROR(__xludf.DUMMYFUNCTION("""COMPUTED_VALUE"""),0.5390190476190477)</f>
        <v>0.5390190476</v>
      </c>
      <c r="C1116" s="25">
        <f>IFERROR(__xludf.DUMMYFUNCTION("""COMPUTED_VALUE"""),0.4525)</f>
        <v>0.4525</v>
      </c>
      <c r="D1116" s="25">
        <f>IFERROR(__xludf.DUMMYFUNCTION("""COMPUTED_VALUE"""),0.651)</f>
        <v>0.651</v>
      </c>
      <c r="E1116" s="23">
        <f>IFERROR(__xludf.DUMMYFUNCTION("""COMPUTED_VALUE"""),0.5370635714285713)</f>
        <v>0.5370635714</v>
      </c>
      <c r="F1116" s="23">
        <f>IFERROR(__xludf.DUMMYFUNCTION("""COMPUTED_VALUE"""),0.5074035535714285)</f>
        <v>0.5074035536</v>
      </c>
      <c r="G1116" s="23"/>
      <c r="H1116" s="23"/>
      <c r="J1116" s="26"/>
    </row>
    <row r="1117">
      <c r="A1117" s="24">
        <f>IFERROR(__xludf.DUMMYFUNCTION("""COMPUTED_VALUE"""),45677.0)</f>
        <v>45677</v>
      </c>
      <c r="B1117" s="23">
        <f>IFERROR(__xludf.DUMMYFUNCTION("""COMPUTED_VALUE"""),0.5496761904761905)</f>
        <v>0.5496761905</v>
      </c>
      <c r="C1117" s="25">
        <f>IFERROR(__xludf.DUMMYFUNCTION("""COMPUTED_VALUE"""),0.486)</f>
        <v>0.486</v>
      </c>
      <c r="D1117" s="25">
        <f>IFERROR(__xludf.DUMMYFUNCTION("""COMPUTED_VALUE"""),0.651)</f>
        <v>0.651</v>
      </c>
      <c r="E1117" s="23">
        <f>IFERROR(__xludf.DUMMYFUNCTION("""COMPUTED_VALUE"""),0.5386685714285714)</f>
        <v>0.5386685714</v>
      </c>
      <c r="F1117" s="23">
        <f>IFERROR(__xludf.DUMMYFUNCTION("""COMPUTED_VALUE"""),0.5063197964285714)</f>
        <v>0.5063197964</v>
      </c>
      <c r="G1117" s="23"/>
      <c r="H1117" s="23"/>
      <c r="J1117" s="26"/>
    </row>
    <row r="1118">
      <c r="A1118" s="24">
        <f>IFERROR(__xludf.DUMMYFUNCTION("""COMPUTED_VALUE"""),45678.0)</f>
        <v>45678</v>
      </c>
      <c r="B1118" s="23">
        <f>IFERROR(__xludf.DUMMYFUNCTION("""COMPUTED_VALUE"""),0.5496761904761905)</f>
        <v>0.5496761905</v>
      </c>
      <c r="C1118" s="25">
        <f>IFERROR(__xludf.DUMMYFUNCTION("""COMPUTED_VALUE"""),0.486)</f>
        <v>0.486</v>
      </c>
      <c r="D1118" s="25">
        <f>IFERROR(__xludf.DUMMYFUNCTION("""COMPUTED_VALUE"""),0.651)</f>
        <v>0.651</v>
      </c>
      <c r="E1118" s="23">
        <f>IFERROR(__xludf.DUMMYFUNCTION("""COMPUTED_VALUE"""),0.5380571428571428)</f>
        <v>0.5380571429</v>
      </c>
      <c r="F1118" s="23">
        <f>IFERROR(__xludf.DUMMYFUNCTION("""COMPUTED_VALUE"""),0.5093333749999999)</f>
        <v>0.509333375</v>
      </c>
      <c r="G1118" s="23"/>
      <c r="H1118" s="23"/>
      <c r="J1118" s="26"/>
    </row>
    <row r="1119">
      <c r="A1119" s="24">
        <f>IFERROR(__xludf.DUMMYFUNCTION("""COMPUTED_VALUE"""),45679.0)</f>
        <v>45679</v>
      </c>
      <c r="B1119" s="23">
        <f>IFERROR(__xludf.DUMMYFUNCTION("""COMPUTED_VALUE"""),0.5496761904761905)</f>
        <v>0.5496761905</v>
      </c>
      <c r="C1119" s="25">
        <f>IFERROR(__xludf.DUMMYFUNCTION("""COMPUTED_VALUE"""),0.486)</f>
        <v>0.486</v>
      </c>
      <c r="D1119" s="25">
        <f>IFERROR(__xludf.DUMMYFUNCTION("""COMPUTED_VALUE"""),0.651)</f>
        <v>0.651</v>
      </c>
      <c r="E1119" s="23">
        <f>IFERROR(__xludf.DUMMYFUNCTION("""COMPUTED_VALUE"""),0.5395092857142857)</f>
        <v>0.5395092857</v>
      </c>
      <c r="F1119" s="23">
        <f>IFERROR(__xludf.DUMMYFUNCTION("""COMPUTED_VALUE"""),0.5104591678571427)</f>
        <v>0.5104591679</v>
      </c>
      <c r="G1119" s="23"/>
      <c r="H1119" s="23"/>
      <c r="J1119" s="26"/>
    </row>
    <row r="1120">
      <c r="A1120" s="24">
        <f>IFERROR(__xludf.DUMMYFUNCTION("""COMPUTED_VALUE"""),45680.0)</f>
        <v>45680</v>
      </c>
      <c r="B1120" s="23">
        <f>IFERROR(__xludf.DUMMYFUNCTION("""COMPUTED_VALUE"""),0.5496761904761905)</f>
        <v>0.5496761905</v>
      </c>
      <c r="C1120" s="25">
        <f>IFERROR(__xludf.DUMMYFUNCTION("""COMPUTED_VALUE"""),0.486)</f>
        <v>0.486</v>
      </c>
      <c r="D1120" s="25">
        <f>IFERROR(__xludf.DUMMYFUNCTION("""COMPUTED_VALUE"""),0.651)</f>
        <v>0.651</v>
      </c>
      <c r="E1120" s="23">
        <f>IFERROR(__xludf.DUMMYFUNCTION("""COMPUTED_VALUE"""),0.5386685714285714)</f>
        <v>0.5386685714</v>
      </c>
      <c r="F1120" s="23">
        <f>IFERROR(__xludf.DUMMYFUNCTION("""COMPUTED_VALUE"""),0.5130030928571429)</f>
        <v>0.5130030929</v>
      </c>
      <c r="G1120" s="23"/>
      <c r="H1120" s="23"/>
      <c r="J1120" s="26"/>
    </row>
    <row r="1121">
      <c r="A1121" s="24">
        <f>IFERROR(__xludf.DUMMYFUNCTION("""COMPUTED_VALUE"""),45681.0)</f>
        <v>45681</v>
      </c>
      <c r="B1121" s="23">
        <f>IFERROR(__xludf.DUMMYFUNCTION("""COMPUTED_VALUE"""),0.5496761904761905)</f>
        <v>0.5496761905</v>
      </c>
      <c r="C1121" s="25">
        <f>IFERROR(__xludf.DUMMYFUNCTION("""COMPUTED_VALUE"""),0.486)</f>
        <v>0.486</v>
      </c>
      <c r="D1121" s="25">
        <f>IFERROR(__xludf.DUMMYFUNCTION("""COMPUTED_VALUE"""),0.651)</f>
        <v>0.651</v>
      </c>
      <c r="E1121" s="23">
        <f>IFERROR(__xludf.DUMMYFUNCTION("""COMPUTED_VALUE"""),0.5385921428571429)</f>
        <v>0.5385921429</v>
      </c>
      <c r="F1121" s="23">
        <f>IFERROR(__xludf.DUMMYFUNCTION("""COMPUTED_VALUE"""),0.5149768607142857)</f>
        <v>0.5149768607</v>
      </c>
      <c r="G1121" s="23"/>
      <c r="H1121" s="23"/>
      <c r="J1121" s="26"/>
    </row>
    <row r="1122">
      <c r="A1122" s="24">
        <f>IFERROR(__xludf.DUMMYFUNCTION("""COMPUTED_VALUE"""),45682.0)</f>
        <v>45682</v>
      </c>
      <c r="B1122" s="23">
        <f>IFERROR(__xludf.DUMMYFUNCTION("""COMPUTED_VALUE"""),0.5496761904761905)</f>
        <v>0.5496761905</v>
      </c>
      <c r="C1122" s="25">
        <f>IFERROR(__xludf.DUMMYFUNCTION("""COMPUTED_VALUE"""),0.486)</f>
        <v>0.486</v>
      </c>
      <c r="D1122" s="25">
        <f>IFERROR(__xludf.DUMMYFUNCTION("""COMPUTED_VALUE"""),0.651)</f>
        <v>0.651</v>
      </c>
      <c r="E1122" s="23">
        <f>IFERROR(__xludf.DUMMYFUNCTION("""COMPUTED_VALUE"""),0.5401971428571428)</f>
        <v>0.5401971429</v>
      </c>
      <c r="F1122" s="23">
        <f>IFERROR(__xludf.DUMMYFUNCTION("""COMPUTED_VALUE"""),0.5169506285714285)</f>
        <v>0.5169506286</v>
      </c>
      <c r="G1122" s="23"/>
      <c r="H1122" s="23"/>
      <c r="J1122" s="26"/>
    </row>
    <row r="1123">
      <c r="A1123" s="24">
        <f>IFERROR(__xludf.DUMMYFUNCTION("""COMPUTED_VALUE"""),45683.0)</f>
        <v>45683</v>
      </c>
      <c r="B1123" s="23">
        <f>IFERROR(__xludf.DUMMYFUNCTION("""COMPUTED_VALUE"""),0.5496761904761905)</f>
        <v>0.5496761905</v>
      </c>
      <c r="C1123" s="25">
        <f>IFERROR(__xludf.DUMMYFUNCTION("""COMPUTED_VALUE"""),0.486)</f>
        <v>0.486</v>
      </c>
      <c r="D1123" s="25">
        <f>IFERROR(__xludf.DUMMYFUNCTION("""COMPUTED_VALUE"""),0.651)</f>
        <v>0.651</v>
      </c>
      <c r="E1123" s="23">
        <f>IFERROR(__xludf.DUMMYFUNCTION("""COMPUTED_VALUE"""),0.5418021428571428)</f>
        <v>0.5418021429</v>
      </c>
      <c r="F1123" s="23">
        <f>IFERROR(__xludf.DUMMYFUNCTION("""COMPUTED_VALUE"""),0.5189243964285714)</f>
        <v>0.5189243964</v>
      </c>
      <c r="G1123" s="23"/>
      <c r="H1123" s="23"/>
      <c r="J1123" s="26"/>
    </row>
    <row r="1124">
      <c r="A1124" s="24">
        <f>IFERROR(__xludf.DUMMYFUNCTION("""COMPUTED_VALUE"""),45684.0)</f>
        <v>45684</v>
      </c>
      <c r="B1124" s="23">
        <f>IFERROR(__xludf.DUMMYFUNCTION("""COMPUTED_VALUE"""),0.5517000000000001)</f>
        <v>0.5517</v>
      </c>
      <c r="C1124" s="25">
        <f>IFERROR(__xludf.DUMMYFUNCTION("""COMPUTED_VALUE"""),0.486)</f>
        <v>0.486</v>
      </c>
      <c r="D1124" s="25">
        <f>IFERROR(__xludf.DUMMYFUNCTION("""COMPUTED_VALUE"""),0.651)</f>
        <v>0.651</v>
      </c>
      <c r="E1124" s="23">
        <f>IFERROR(__xludf.DUMMYFUNCTION("""COMPUTED_VALUE"""),0.5416492857142857)</f>
        <v>0.5416492857</v>
      </c>
      <c r="F1124" s="23">
        <f>IFERROR(__xludf.DUMMYFUNCTION("""COMPUTED_VALUE"""),0.5183179357142856)</f>
        <v>0.5183179357</v>
      </c>
      <c r="G1124" s="23"/>
      <c r="H1124" s="23"/>
      <c r="J1124" s="26"/>
    </row>
    <row r="1125">
      <c r="A1125" s="24">
        <f>IFERROR(__xludf.DUMMYFUNCTION("""COMPUTED_VALUE"""),45685.0)</f>
        <v>45685</v>
      </c>
      <c r="B1125" s="23">
        <f>IFERROR(__xludf.DUMMYFUNCTION("""COMPUTED_VALUE"""),0.5517000000000001)</f>
        <v>0.5517</v>
      </c>
      <c r="C1125" s="25">
        <f>IFERROR(__xludf.DUMMYFUNCTION("""COMPUTED_VALUE"""),0.486)</f>
        <v>0.486</v>
      </c>
      <c r="D1125" s="25">
        <f>IFERROR(__xludf.DUMMYFUNCTION("""COMPUTED_VALUE"""),0.651)</f>
        <v>0.651</v>
      </c>
      <c r="E1125" s="23">
        <f>IFERROR(__xludf.DUMMYFUNCTION("""COMPUTED_VALUE"""),0.5364521428571428)</f>
        <v>0.5364521429</v>
      </c>
      <c r="F1125" s="23">
        <f>IFERROR(__xludf.DUMMYFUNCTION("""COMPUTED_VALUE"""),0.5159968)</f>
        <v>0.5159968</v>
      </c>
      <c r="G1125" s="23"/>
      <c r="H1125" s="23"/>
      <c r="J1125" s="26"/>
    </row>
    <row r="1126">
      <c r="A1126" s="24">
        <f>IFERROR(__xludf.DUMMYFUNCTION("""COMPUTED_VALUE"""),45686.0)</f>
        <v>45686</v>
      </c>
      <c r="B1126" s="23">
        <f>IFERROR(__xludf.DUMMYFUNCTION("""COMPUTED_VALUE"""),0.5517000000000001)</f>
        <v>0.5517</v>
      </c>
      <c r="C1126" s="25">
        <f>IFERROR(__xludf.DUMMYFUNCTION("""COMPUTED_VALUE"""),0.486)</f>
        <v>0.486</v>
      </c>
      <c r="D1126" s="25">
        <f>IFERROR(__xludf.DUMMYFUNCTION("""COMPUTED_VALUE"""),0.651)</f>
        <v>0.651</v>
      </c>
      <c r="E1126" s="23">
        <f>IFERROR(__xludf.DUMMYFUNCTION("""COMPUTED_VALUE"""),0.5313314285714286)</f>
        <v>0.5313314286</v>
      </c>
      <c r="F1126" s="23">
        <f>IFERROR(__xludf.DUMMYFUNCTION("""COMPUTED_VALUE"""),0.5189308928571428)</f>
        <v>0.5189308929</v>
      </c>
      <c r="G1126" s="23"/>
      <c r="H1126" s="23"/>
      <c r="J1126" s="26"/>
    </row>
    <row r="1127">
      <c r="A1127" s="24">
        <f>IFERROR(__xludf.DUMMYFUNCTION("""COMPUTED_VALUE"""),45687.0)</f>
        <v>45687</v>
      </c>
      <c r="B1127" s="23">
        <f>IFERROR(__xludf.DUMMYFUNCTION("""COMPUTED_VALUE"""),0.5517000000000001)</f>
        <v>0.5517</v>
      </c>
      <c r="C1127" s="25">
        <f>IFERROR(__xludf.DUMMYFUNCTION("""COMPUTED_VALUE"""),0.486)</f>
        <v>0.486</v>
      </c>
      <c r="D1127" s="25">
        <f>IFERROR(__xludf.DUMMYFUNCTION("""COMPUTED_VALUE"""),0.651)</f>
        <v>0.651</v>
      </c>
      <c r="E1127" s="23">
        <f>IFERROR(__xludf.DUMMYFUNCTION("""COMPUTED_VALUE"""),0.5314078571428571)</f>
        <v>0.5314078571</v>
      </c>
      <c r="F1127" s="23">
        <f>IFERROR(__xludf.DUMMYFUNCTION("""COMPUTED_VALUE"""),0.5207888714285714)</f>
        <v>0.5207888714</v>
      </c>
      <c r="G1127" s="23"/>
      <c r="H1127" s="23"/>
      <c r="J1127" s="26"/>
    </row>
    <row r="1128">
      <c r="A1128" s="24">
        <f>IFERROR(__xludf.DUMMYFUNCTION("""COMPUTED_VALUE"""),45688.0)</f>
        <v>45688</v>
      </c>
      <c r="B1128" s="23">
        <f>IFERROR(__xludf.DUMMYFUNCTION("""COMPUTED_VALUE"""),0.5517000000000001)</f>
        <v>0.5517</v>
      </c>
      <c r="C1128" s="25">
        <f>IFERROR(__xludf.DUMMYFUNCTION("""COMPUTED_VALUE"""),0.486)</f>
        <v>0.486</v>
      </c>
      <c r="D1128" s="25">
        <f>IFERROR(__xludf.DUMMYFUNCTION("""COMPUTED_VALUE"""),0.651)</f>
        <v>0.651</v>
      </c>
      <c r="E1128" s="23">
        <f>IFERROR(__xludf.DUMMYFUNCTION("""COMPUTED_VALUE"""),0.5361464285714286)</f>
        <v>0.5361464286</v>
      </c>
      <c r="F1128" s="23">
        <f>IFERROR(__xludf.DUMMYFUNCTION("""COMPUTED_VALUE"""),0.5248093964285714)</f>
        <v>0.5248093964</v>
      </c>
      <c r="G1128" s="23"/>
      <c r="H1128" s="23"/>
      <c r="J1128" s="26"/>
    </row>
    <row r="1129">
      <c r="A1129" s="24">
        <f>IFERROR(__xludf.DUMMYFUNCTION("""COMPUTED_VALUE"""),45689.0)</f>
        <v>45689</v>
      </c>
      <c r="B1129" s="23">
        <f>IFERROR(__xludf.DUMMYFUNCTION("""COMPUTED_VALUE"""),0.5517000000000001)</f>
        <v>0.5517</v>
      </c>
      <c r="C1129" s="25">
        <f>IFERROR(__xludf.DUMMYFUNCTION("""COMPUTED_VALUE"""),0.486)</f>
        <v>0.486</v>
      </c>
      <c r="D1129" s="25">
        <f>IFERROR(__xludf.DUMMYFUNCTION("""COMPUTED_VALUE"""),0.651)</f>
        <v>0.651</v>
      </c>
      <c r="E1129" s="23">
        <f>IFERROR(__xludf.DUMMYFUNCTION("""COMPUTED_VALUE"""),0.542107857142857)</f>
        <v>0.5421078571</v>
      </c>
      <c r="F1129" s="23">
        <f>IFERROR(__xludf.DUMMYFUNCTION("""COMPUTED_VALUE"""),0.5288299214285714)</f>
        <v>0.5288299214</v>
      </c>
      <c r="G1129" s="23"/>
      <c r="H1129" s="23"/>
      <c r="J1129" s="26"/>
    </row>
    <row r="1130">
      <c r="A1130" s="24">
        <f>IFERROR(__xludf.DUMMYFUNCTION("""COMPUTED_VALUE"""),45690.0)</f>
        <v>45690</v>
      </c>
      <c r="B1130" s="23">
        <f>IFERROR(__xludf.DUMMYFUNCTION("""COMPUTED_VALUE"""),0.5517000000000001)</f>
        <v>0.5517</v>
      </c>
      <c r="C1130" s="25">
        <f>IFERROR(__xludf.DUMMYFUNCTION("""COMPUTED_VALUE"""),0.486)</f>
        <v>0.486</v>
      </c>
      <c r="D1130" s="25">
        <f>IFERROR(__xludf.DUMMYFUNCTION("""COMPUTED_VALUE"""),0.651)</f>
        <v>0.651</v>
      </c>
      <c r="E1130" s="23">
        <f>IFERROR(__xludf.DUMMYFUNCTION("""COMPUTED_VALUE"""),0.5480692857142857)</f>
        <v>0.5480692857</v>
      </c>
      <c r="F1130" s="23">
        <f>IFERROR(__xludf.DUMMYFUNCTION("""COMPUTED_VALUE"""),0.5328504464285714)</f>
        <v>0.5328504464</v>
      </c>
      <c r="G1130" s="23"/>
      <c r="H1130" s="23"/>
      <c r="J1130" s="26"/>
    </row>
    <row r="1131">
      <c r="A1131" s="24">
        <f>IFERROR(__xludf.DUMMYFUNCTION("""COMPUTED_VALUE"""),45691.0)</f>
        <v>45691</v>
      </c>
      <c r="B1131" s="23">
        <f>IFERROR(__xludf.DUMMYFUNCTION("""COMPUTED_VALUE"""),0.5517000000000001)</f>
        <v>0.5517</v>
      </c>
      <c r="C1131" s="25">
        <f>IFERROR(__xludf.DUMMYFUNCTION("""COMPUTED_VALUE"""),0.486)</f>
        <v>0.486</v>
      </c>
      <c r="D1131" s="25">
        <f>IFERROR(__xludf.DUMMYFUNCTION("""COMPUTED_VALUE"""),0.651)</f>
        <v>0.651</v>
      </c>
      <c r="E1131" s="23">
        <f>IFERROR(__xludf.DUMMYFUNCTION("""COMPUTED_VALUE"""),0.5558649999999999)</f>
        <v>0.555865</v>
      </c>
      <c r="F1131" s="23">
        <f>IFERROR(__xludf.DUMMYFUNCTION("""COMPUTED_VALUE"""),0.5392284107142856)</f>
        <v>0.5392284107</v>
      </c>
      <c r="G1131" s="23"/>
      <c r="H1131" s="23"/>
      <c r="J1131" s="26"/>
    </row>
    <row r="1132">
      <c r="A1132" s="24">
        <f>IFERROR(__xludf.DUMMYFUNCTION("""COMPUTED_VALUE"""),45692.0)</f>
        <v>45692</v>
      </c>
      <c r="B1132" s="23">
        <f>IFERROR(__xludf.DUMMYFUNCTION("""COMPUTED_VALUE"""),0.5517000000000001)</f>
        <v>0.5517</v>
      </c>
      <c r="C1132" s="25">
        <f>IFERROR(__xludf.DUMMYFUNCTION("""COMPUTED_VALUE"""),0.486)</f>
        <v>0.486</v>
      </c>
      <c r="D1132" s="25">
        <f>IFERROR(__xludf.DUMMYFUNCTION("""COMPUTED_VALUE"""),0.651)</f>
        <v>0.651</v>
      </c>
      <c r="E1132" s="23">
        <f>IFERROR(__xludf.DUMMYFUNCTION("""COMPUTED_VALUE"""),0.5651128571428571)</f>
        <v>0.5651128571</v>
      </c>
      <c r="F1132" s="23">
        <f>IFERROR(__xludf.DUMMYFUNCTION("""COMPUTED_VALUE"""),0.5437961642857142)</f>
        <v>0.5437961643</v>
      </c>
      <c r="G1132" s="23"/>
      <c r="H1132" s="23"/>
      <c r="J1132" s="26"/>
    </row>
    <row r="1133">
      <c r="A1133" s="24">
        <f>IFERROR(__xludf.DUMMYFUNCTION("""COMPUTED_VALUE"""),45693.0)</f>
        <v>45693</v>
      </c>
      <c r="B1133" s="23">
        <f>IFERROR(__xludf.DUMMYFUNCTION("""COMPUTED_VALUE"""),0.5517000000000001)</f>
        <v>0.5517</v>
      </c>
      <c r="C1133" s="25">
        <f>IFERROR(__xludf.DUMMYFUNCTION("""COMPUTED_VALUE"""),0.486)</f>
        <v>0.486</v>
      </c>
      <c r="D1133" s="25">
        <f>IFERROR(__xludf.DUMMYFUNCTION("""COMPUTED_VALUE"""),0.651)</f>
        <v>0.651</v>
      </c>
      <c r="E1133" s="23">
        <f>IFERROR(__xludf.DUMMYFUNCTION("""COMPUTED_VALUE"""),0.5713799999999999)</f>
        <v>0.57138</v>
      </c>
      <c r="F1133" s="23">
        <f>IFERROR(__xludf.DUMMYFUNCTION("""COMPUTED_VALUE"""),0.5468842607142858)</f>
        <v>0.5468842607</v>
      </c>
      <c r="G1133" s="23"/>
      <c r="H1133" s="23"/>
      <c r="J1133" s="26"/>
    </row>
    <row r="1134">
      <c r="A1134" s="24">
        <f>IFERROR(__xludf.DUMMYFUNCTION("""COMPUTED_VALUE"""),45694.0)</f>
        <v>45694</v>
      </c>
      <c r="B1134" s="23">
        <f>IFERROR(__xludf.DUMMYFUNCTION("""COMPUTED_VALUE"""),0.5517000000000001)</f>
        <v>0.5517</v>
      </c>
      <c r="C1134" s="25">
        <f>IFERROR(__xludf.DUMMYFUNCTION("""COMPUTED_VALUE"""),0.486)</f>
        <v>0.486</v>
      </c>
      <c r="D1134" s="25">
        <f>IFERROR(__xludf.DUMMYFUNCTION("""COMPUTED_VALUE"""),0.651)</f>
        <v>0.651</v>
      </c>
      <c r="E1134" s="23">
        <f>IFERROR(__xludf.DUMMYFUNCTION("""COMPUTED_VALUE"""),0.5768064285714285)</f>
        <v>0.5768064286</v>
      </c>
      <c r="F1134" s="23">
        <f>IFERROR(__xludf.DUMMYFUNCTION("""COMPUTED_VALUE"""),0.5515395249999999)</f>
        <v>0.551539525</v>
      </c>
      <c r="G1134" s="23"/>
      <c r="H1134" s="23"/>
      <c r="J1134" s="26"/>
    </row>
    <row r="1135">
      <c r="A1135" s="24">
        <f>IFERROR(__xludf.DUMMYFUNCTION("""COMPUTED_VALUE"""),45695.0)</f>
        <v>45695</v>
      </c>
      <c r="B1135" s="23">
        <f>IFERROR(__xludf.DUMMYFUNCTION("""COMPUTED_VALUE"""),0.5517000000000001)</f>
        <v>0.5517</v>
      </c>
      <c r="C1135" s="25">
        <f>IFERROR(__xludf.DUMMYFUNCTION("""COMPUTED_VALUE"""),0.486)</f>
        <v>0.486</v>
      </c>
      <c r="D1135" s="25">
        <f>IFERROR(__xludf.DUMMYFUNCTION("""COMPUTED_VALUE"""),0.651)</f>
        <v>0.651</v>
      </c>
      <c r="E1135" s="23">
        <f>IFERROR(__xludf.DUMMYFUNCTION("""COMPUTED_VALUE"""),0.5822328571428572)</f>
        <v>0.5822328571</v>
      </c>
      <c r="F1135" s="23">
        <f>IFERROR(__xludf.DUMMYFUNCTION("""COMPUTED_VALUE"""),0.5553212107142856)</f>
        <v>0.5553212107</v>
      </c>
      <c r="G1135" s="23"/>
      <c r="H1135" s="23"/>
      <c r="J1135" s="26"/>
    </row>
    <row r="1136">
      <c r="A1136" s="24">
        <f>IFERROR(__xludf.DUMMYFUNCTION("""COMPUTED_VALUE"""),45696.0)</f>
        <v>45696</v>
      </c>
      <c r="B1136" s="23">
        <f>IFERROR(__xludf.DUMMYFUNCTION("""COMPUTED_VALUE"""),0.5517000000000001)</f>
        <v>0.5517</v>
      </c>
      <c r="C1136" s="25">
        <f>IFERROR(__xludf.DUMMYFUNCTION("""COMPUTED_VALUE"""),0.486)</f>
        <v>0.486</v>
      </c>
      <c r="D1136" s="25">
        <f>IFERROR(__xludf.DUMMYFUNCTION("""COMPUTED_VALUE"""),0.651)</f>
        <v>0.651</v>
      </c>
      <c r="E1136" s="23">
        <f>IFERROR(__xludf.DUMMYFUNCTION("""COMPUTED_VALUE"""),0.5854428571428573)</f>
        <v>0.5854428571</v>
      </c>
      <c r="F1136" s="23">
        <f>IFERROR(__xludf.DUMMYFUNCTION("""COMPUTED_VALUE"""),0.5591028964285714)</f>
        <v>0.5591028964</v>
      </c>
      <c r="G1136" s="23"/>
      <c r="H1136" s="23"/>
      <c r="J1136" s="26"/>
    </row>
    <row r="1137">
      <c r="A1137" s="24">
        <f>IFERROR(__xludf.DUMMYFUNCTION("""COMPUTED_VALUE"""),45697.0)</f>
        <v>45697</v>
      </c>
      <c r="B1137" s="23">
        <f>IFERROR(__xludf.DUMMYFUNCTION("""COMPUTED_VALUE"""),0.5517000000000001)</f>
        <v>0.5517</v>
      </c>
      <c r="C1137" s="25">
        <f>IFERROR(__xludf.DUMMYFUNCTION("""COMPUTED_VALUE"""),0.486)</f>
        <v>0.486</v>
      </c>
      <c r="D1137" s="25">
        <f>IFERROR(__xludf.DUMMYFUNCTION("""COMPUTED_VALUE"""),0.651)</f>
        <v>0.651</v>
      </c>
      <c r="E1137" s="23">
        <f>IFERROR(__xludf.DUMMYFUNCTION("""COMPUTED_VALUE"""),0.5886528571428571)</f>
        <v>0.5886528571</v>
      </c>
      <c r="F1137" s="23">
        <f>IFERROR(__xludf.DUMMYFUNCTION("""COMPUTED_VALUE"""),0.5628845821428571)</f>
        <v>0.5628845821</v>
      </c>
      <c r="G1137" s="23"/>
      <c r="H1137" s="23"/>
      <c r="J1137" s="26"/>
    </row>
    <row r="1138">
      <c r="A1138" s="24">
        <f>IFERROR(__xludf.DUMMYFUNCTION("""COMPUTED_VALUE"""),45698.0)</f>
        <v>45698</v>
      </c>
      <c r="B1138" s="23">
        <f>IFERROR(__xludf.DUMMYFUNCTION("""COMPUTED_VALUE"""),0.5732260869565218)</f>
        <v>0.573226087</v>
      </c>
      <c r="C1138" s="25">
        <f>IFERROR(__xludf.DUMMYFUNCTION("""COMPUTED_VALUE"""),0.486)</f>
        <v>0.486</v>
      </c>
      <c r="D1138" s="25">
        <f>IFERROR(__xludf.DUMMYFUNCTION("""COMPUTED_VALUE"""),0.6855)</f>
        <v>0.6855</v>
      </c>
      <c r="E1138" s="23">
        <f>IFERROR(__xludf.DUMMYFUNCTION("""COMPUTED_VALUE"""),0.59171)</f>
        <v>0.59171</v>
      </c>
      <c r="F1138" s="23">
        <f>IFERROR(__xludf.DUMMYFUNCTION("""COMPUTED_VALUE"""),0.5689297)</f>
        <v>0.5689297</v>
      </c>
      <c r="G1138" s="23"/>
      <c r="H1138" s="23"/>
      <c r="J1138" s="26"/>
    </row>
    <row r="1139">
      <c r="A1139" s="24">
        <f>IFERROR(__xludf.DUMMYFUNCTION("""COMPUTED_VALUE"""),45699.0)</f>
        <v>45699</v>
      </c>
      <c r="B1139" s="23">
        <f>IFERROR(__xludf.DUMMYFUNCTION("""COMPUTED_VALUE"""),0.5732260869565218)</f>
        <v>0.573226087</v>
      </c>
      <c r="C1139" s="25">
        <f>IFERROR(__xludf.DUMMYFUNCTION("""COMPUTED_VALUE"""),0.486)</f>
        <v>0.486</v>
      </c>
      <c r="D1139" s="25">
        <f>IFERROR(__xludf.DUMMYFUNCTION("""COMPUTED_VALUE"""),0.6855)</f>
        <v>0.6855</v>
      </c>
      <c r="E1139" s="23">
        <f>IFERROR(__xludf.DUMMYFUNCTION("""COMPUTED_VALUE"""),0.6011107142857143)</f>
        <v>0.6011107143</v>
      </c>
      <c r="F1139" s="23">
        <f>IFERROR(__xludf.DUMMYFUNCTION("""COMPUTED_VALUE"""),0.5768190392857143)</f>
        <v>0.5768190393</v>
      </c>
      <c r="G1139" s="23"/>
      <c r="H1139" s="23"/>
      <c r="J1139" s="26"/>
    </row>
    <row r="1140">
      <c r="A1140" s="24">
        <f>IFERROR(__xludf.DUMMYFUNCTION("""COMPUTED_VALUE"""),45700.0)</f>
        <v>45700</v>
      </c>
      <c r="B1140" s="23">
        <f>IFERROR(__xludf.DUMMYFUNCTION("""COMPUTED_VALUE"""),0.5732260869565218)</f>
        <v>0.573226087</v>
      </c>
      <c r="C1140" s="25">
        <f>IFERROR(__xludf.DUMMYFUNCTION("""COMPUTED_VALUE"""),0.486)</f>
        <v>0.486</v>
      </c>
      <c r="D1140" s="25">
        <f>IFERROR(__xludf.DUMMYFUNCTION("""COMPUTED_VALUE"""),0.6855)</f>
        <v>0.6855</v>
      </c>
      <c r="E1140" s="23">
        <f>IFERROR(__xludf.DUMMYFUNCTION("""COMPUTED_VALUE"""),0.6139507142857142)</f>
        <v>0.6139507143</v>
      </c>
      <c r="F1140" s="23">
        <f>IFERROR(__xludf.DUMMYFUNCTION("""COMPUTED_VALUE"""),0.581962682142857)</f>
        <v>0.5819626821</v>
      </c>
      <c r="G1140" s="23"/>
      <c r="H1140" s="23"/>
      <c r="J1140" s="26"/>
    </row>
    <row r="1141">
      <c r="A1141" s="24">
        <f>IFERROR(__xludf.DUMMYFUNCTION("""COMPUTED_VALUE"""),45701.0)</f>
        <v>45701</v>
      </c>
      <c r="B1141" s="23">
        <f>IFERROR(__xludf.DUMMYFUNCTION("""COMPUTED_VALUE"""),0.5732260869565218)</f>
        <v>0.573226087</v>
      </c>
      <c r="C1141" s="25">
        <f>IFERROR(__xludf.DUMMYFUNCTION("""COMPUTED_VALUE"""),0.486)</f>
        <v>0.486</v>
      </c>
      <c r="D1141" s="25">
        <f>IFERROR(__xludf.DUMMYFUNCTION("""COMPUTED_VALUE"""),0.6855)</f>
        <v>0.6855</v>
      </c>
      <c r="E1141" s="23">
        <f>IFERROR(__xludf.DUMMYFUNCTION("""COMPUTED_VALUE"""),0.6200650000000001)</f>
        <v>0.620065</v>
      </c>
      <c r="F1141" s="23">
        <f>IFERROR(__xludf.DUMMYFUNCTION("""COMPUTED_VALUE"""),0.5857508642857142)</f>
        <v>0.5857508643</v>
      </c>
      <c r="G1141" s="23"/>
      <c r="H1141" s="23"/>
      <c r="J1141" s="26"/>
    </row>
    <row r="1142">
      <c r="A1142" s="24">
        <f>IFERROR(__xludf.DUMMYFUNCTION("""COMPUTED_VALUE"""),45702.0)</f>
        <v>45702</v>
      </c>
      <c r="B1142" s="23">
        <f>IFERROR(__xludf.DUMMYFUNCTION("""COMPUTED_VALUE"""),0.5732260869565218)</f>
        <v>0.573226087</v>
      </c>
      <c r="C1142" s="25">
        <f>IFERROR(__xludf.DUMMYFUNCTION("""COMPUTED_VALUE"""),0.486)</f>
        <v>0.486</v>
      </c>
      <c r="D1142" s="25">
        <f>IFERROR(__xludf.DUMMYFUNCTION("""COMPUTED_VALUE"""),0.6855)</f>
        <v>0.6855</v>
      </c>
      <c r="E1142" s="23">
        <f>IFERROR(__xludf.DUMMYFUNCTION("""COMPUTED_VALUE"""),0.62381)</f>
        <v>0.62381</v>
      </c>
      <c r="F1142" s="23">
        <f>IFERROR(__xludf.DUMMYFUNCTION("""COMPUTED_VALUE"""),0.58770285)</f>
        <v>0.58770285</v>
      </c>
      <c r="G1142" s="23"/>
      <c r="H1142" s="23"/>
      <c r="J1142" s="26"/>
    </row>
    <row r="1143">
      <c r="A1143" s="24">
        <f>IFERROR(__xludf.DUMMYFUNCTION("""COMPUTED_VALUE"""),45703.0)</f>
        <v>45703</v>
      </c>
      <c r="B1143" s="23">
        <f>IFERROR(__xludf.DUMMYFUNCTION("""COMPUTED_VALUE"""),0.5732260869565218)</f>
        <v>0.573226087</v>
      </c>
      <c r="C1143" s="25">
        <f>IFERROR(__xludf.DUMMYFUNCTION("""COMPUTED_VALUE"""),0.486)</f>
        <v>0.486</v>
      </c>
      <c r="D1143" s="25">
        <f>IFERROR(__xludf.DUMMYFUNCTION("""COMPUTED_VALUE"""),0.6855)</f>
        <v>0.6855</v>
      </c>
      <c r="E1143" s="23">
        <f>IFERROR(__xludf.DUMMYFUNCTION("""COMPUTED_VALUE"""),0.6180778571428572)</f>
        <v>0.6180778571</v>
      </c>
      <c r="F1143" s="23">
        <f>IFERROR(__xludf.DUMMYFUNCTION("""COMPUTED_VALUE"""),0.5896548357142857)</f>
        <v>0.5896548357</v>
      </c>
      <c r="G1143" s="23"/>
      <c r="H1143" s="23"/>
      <c r="J1143" s="26"/>
    </row>
    <row r="1144">
      <c r="A1144" s="24">
        <f>IFERROR(__xludf.DUMMYFUNCTION("""COMPUTED_VALUE"""),45704.0)</f>
        <v>45704</v>
      </c>
      <c r="B1144" s="23">
        <f>IFERROR(__xludf.DUMMYFUNCTION("""COMPUTED_VALUE"""),0.5732260869565218)</f>
        <v>0.573226087</v>
      </c>
      <c r="C1144" s="25">
        <f>IFERROR(__xludf.DUMMYFUNCTION("""COMPUTED_VALUE"""),0.486)</f>
        <v>0.486</v>
      </c>
      <c r="D1144" s="25">
        <f>IFERROR(__xludf.DUMMYFUNCTION("""COMPUTED_VALUE"""),0.6855)</f>
        <v>0.6855</v>
      </c>
      <c r="E1144" s="23">
        <f>IFERROR(__xludf.DUMMYFUNCTION("""COMPUTED_VALUE"""),0.6123915714285715)</f>
        <v>0.6123915714</v>
      </c>
      <c r="F1144" s="23">
        <f>IFERROR(__xludf.DUMMYFUNCTION("""COMPUTED_VALUE"""),0.5916068214285714)</f>
        <v>0.5916068214</v>
      </c>
      <c r="G1144" s="23"/>
      <c r="H1144" s="23"/>
      <c r="J1144" s="26"/>
    </row>
    <row r="1145">
      <c r="A1145" s="24">
        <f>IFERROR(__xludf.DUMMYFUNCTION("""COMPUTED_VALUE"""),45705.0)</f>
        <v>45705</v>
      </c>
      <c r="B1145" s="23">
        <f>IFERROR(__xludf.DUMMYFUNCTION("""COMPUTED_VALUE"""),0.5732260869565218)</f>
        <v>0.573226087</v>
      </c>
      <c r="C1145" s="25">
        <f>IFERROR(__xludf.DUMMYFUNCTION("""COMPUTED_VALUE"""),0.486)</f>
        <v>0.486</v>
      </c>
      <c r="D1145" s="25">
        <f>IFERROR(__xludf.DUMMYFUNCTION("""COMPUTED_VALUE"""),0.6855)</f>
        <v>0.6855</v>
      </c>
      <c r="E1145" s="23">
        <f>IFERROR(__xludf.DUMMYFUNCTION("""COMPUTED_VALUE"""),0.6084937142857143)</f>
        <v>0.6084937143</v>
      </c>
      <c r="F1145" s="23">
        <f>IFERROR(__xludf.DUMMYFUNCTION("""COMPUTED_VALUE"""),0.5801872464285713)</f>
        <v>0.5801872464</v>
      </c>
      <c r="G1145" s="23"/>
      <c r="H1145" s="23"/>
      <c r="J1145" s="26"/>
    </row>
    <row r="1146">
      <c r="A1146" s="24">
        <f>IFERROR(__xludf.DUMMYFUNCTION("""COMPUTED_VALUE"""),45706.0)</f>
        <v>45706</v>
      </c>
      <c r="B1146" s="23">
        <f>IFERROR(__xludf.DUMMYFUNCTION("""COMPUTED_VALUE"""),0.5732260869565218)</f>
        <v>0.573226087</v>
      </c>
      <c r="C1146" s="25">
        <f>IFERROR(__xludf.DUMMYFUNCTION("""COMPUTED_VALUE"""),0.486)</f>
        <v>0.486</v>
      </c>
      <c r="D1146" s="25">
        <f>IFERROR(__xludf.DUMMYFUNCTION("""COMPUTED_VALUE"""),0.6855)</f>
        <v>0.6855</v>
      </c>
      <c r="E1146" s="23">
        <f>IFERROR(__xludf.DUMMYFUNCTION("""COMPUTED_VALUE"""),0.5995515714285714)</f>
        <v>0.5995515714</v>
      </c>
      <c r="F1146" s="23">
        <f>IFERROR(__xludf.DUMMYFUNCTION("""COMPUTED_VALUE"""),0.5699072214285713)</f>
        <v>0.5699072214</v>
      </c>
      <c r="G1146" s="23"/>
      <c r="H1146" s="23"/>
      <c r="J1146" s="26"/>
    </row>
    <row r="1147">
      <c r="A1147" s="24">
        <f>IFERROR(__xludf.DUMMYFUNCTION("""COMPUTED_VALUE"""),45707.0)</f>
        <v>45707</v>
      </c>
      <c r="B1147" s="23">
        <f>IFERROR(__xludf.DUMMYFUNCTION("""COMPUTED_VALUE"""),0.5732260869565218)</f>
        <v>0.573226087</v>
      </c>
      <c r="C1147" s="25">
        <f>IFERROR(__xludf.DUMMYFUNCTION("""COMPUTED_VALUE"""),0.486)</f>
        <v>0.486</v>
      </c>
      <c r="D1147" s="25">
        <f>IFERROR(__xludf.DUMMYFUNCTION("""COMPUTED_VALUE"""),0.6855)</f>
        <v>0.6855</v>
      </c>
      <c r="E1147" s="23">
        <f>IFERROR(__xludf.DUMMYFUNCTION("""COMPUTED_VALUE"""),0.5880872857142857)</f>
        <v>0.5880872857</v>
      </c>
      <c r="F1147" s="23">
        <f>IFERROR(__xludf.DUMMYFUNCTION("""COMPUTED_VALUE"""),0.5596142035714285)</f>
        <v>0.5596142036</v>
      </c>
      <c r="G1147" s="23"/>
      <c r="H1147" s="23"/>
      <c r="J1147" s="26"/>
    </row>
    <row r="1148">
      <c r="A1148" s="24">
        <f>IFERROR(__xludf.DUMMYFUNCTION("""COMPUTED_VALUE"""),45708.0)</f>
        <v>45708</v>
      </c>
      <c r="B1148" s="23">
        <f>IFERROR(__xludf.DUMMYFUNCTION("""COMPUTED_VALUE"""),0.5732260869565218)</f>
        <v>0.573226087</v>
      </c>
      <c r="C1148" s="25">
        <f>IFERROR(__xludf.DUMMYFUNCTION("""COMPUTED_VALUE"""),0.486)</f>
        <v>0.486</v>
      </c>
      <c r="D1148" s="25">
        <f>IFERROR(__xludf.DUMMYFUNCTION("""COMPUTED_VALUE"""),0.6855)</f>
        <v>0.6855</v>
      </c>
      <c r="E1148" s="23">
        <f>IFERROR(__xludf.DUMMYFUNCTION("""COMPUTED_VALUE"""),0.5807501428571429)</f>
        <v>0.5807501429</v>
      </c>
      <c r="F1148" s="23">
        <f>IFERROR(__xludf.DUMMYFUNCTION("""COMPUTED_VALUE"""),0.54850875)</f>
        <v>0.54850875</v>
      </c>
      <c r="G1148" s="23"/>
      <c r="H1148" s="23"/>
      <c r="J1148" s="26"/>
    </row>
    <row r="1149">
      <c r="A1149" s="24">
        <f>IFERROR(__xludf.DUMMYFUNCTION("""COMPUTED_VALUE"""),45709.0)</f>
        <v>45709</v>
      </c>
      <c r="B1149" s="23">
        <f>IFERROR(__xludf.DUMMYFUNCTION("""COMPUTED_VALUE"""),0.5732260869565218)</f>
        <v>0.573226087</v>
      </c>
      <c r="C1149" s="25">
        <f>IFERROR(__xludf.DUMMYFUNCTION("""COMPUTED_VALUE"""),0.486)</f>
        <v>0.486</v>
      </c>
      <c r="D1149" s="25">
        <f>IFERROR(__xludf.DUMMYFUNCTION("""COMPUTED_VALUE"""),0.6855)</f>
        <v>0.6855</v>
      </c>
      <c r="E1149" s="23">
        <f>IFERROR(__xludf.DUMMYFUNCTION("""COMPUTED_VALUE"""),0.5698208571428572)</f>
        <v>0.5698208571</v>
      </c>
      <c r="F1149" s="23">
        <f>IFERROR(__xludf.DUMMYFUNCTION("""COMPUTED_VALUE"""),0.5372435607142857)</f>
        <v>0.5372435607</v>
      </c>
      <c r="G1149" s="23"/>
      <c r="H1149" s="23"/>
      <c r="J1149" s="26"/>
    </row>
    <row r="1150">
      <c r="A1150" s="24">
        <f>IFERROR(__xludf.DUMMYFUNCTION("""COMPUTED_VALUE"""),45710.0)</f>
        <v>45710</v>
      </c>
      <c r="B1150" s="23">
        <f>IFERROR(__xludf.DUMMYFUNCTION("""COMPUTED_VALUE"""),0.5732260869565218)</f>
        <v>0.573226087</v>
      </c>
      <c r="C1150" s="25">
        <f>IFERROR(__xludf.DUMMYFUNCTION("""COMPUTED_VALUE"""),0.486)</f>
        <v>0.486</v>
      </c>
      <c r="D1150" s="25">
        <f>IFERROR(__xludf.DUMMYFUNCTION("""COMPUTED_VALUE"""),0.6855)</f>
        <v>0.6855</v>
      </c>
      <c r="E1150" s="23">
        <f>IFERROR(__xludf.DUMMYFUNCTION("""COMPUTED_VALUE"""),0.5634772857142857)</f>
        <v>0.5634772857</v>
      </c>
      <c r="F1150" s="23">
        <f>IFERROR(__xludf.DUMMYFUNCTION("""COMPUTED_VALUE"""),0.5259783714285715)</f>
        <v>0.5259783714</v>
      </c>
      <c r="G1150" s="23"/>
      <c r="H1150" s="23"/>
      <c r="J1150" s="26"/>
    </row>
    <row r="1151">
      <c r="A1151" s="24">
        <f>IFERROR(__xludf.DUMMYFUNCTION("""COMPUTED_VALUE"""),45711.0)</f>
        <v>45711</v>
      </c>
      <c r="B1151" s="23">
        <f>IFERROR(__xludf.DUMMYFUNCTION("""COMPUTED_VALUE"""),0.5732260869565218)</f>
        <v>0.573226087</v>
      </c>
      <c r="C1151" s="25">
        <f>IFERROR(__xludf.DUMMYFUNCTION("""COMPUTED_VALUE"""),0.486)</f>
        <v>0.486</v>
      </c>
      <c r="D1151" s="25">
        <f>IFERROR(__xludf.DUMMYFUNCTION("""COMPUTED_VALUE"""),0.6855)</f>
        <v>0.6855</v>
      </c>
      <c r="E1151" s="23">
        <f>IFERROR(__xludf.DUMMYFUNCTION("""COMPUTED_VALUE"""),0.5570878571428571)</f>
        <v>0.5570878571</v>
      </c>
      <c r="F1151" s="23">
        <f>IFERROR(__xludf.DUMMYFUNCTION("""COMPUTED_VALUE"""),0.5147131821428572)</f>
        <v>0.5147131821</v>
      </c>
      <c r="G1151" s="23"/>
      <c r="H1151" s="23"/>
      <c r="J1151" s="26"/>
    </row>
    <row r="1152">
      <c r="A1152" s="24">
        <f>IFERROR(__xludf.DUMMYFUNCTION("""COMPUTED_VALUE"""),45712.0)</f>
        <v>45712</v>
      </c>
      <c r="B1152" s="23">
        <f>IFERROR(__xludf.DUMMYFUNCTION("""COMPUTED_VALUE"""),0.5980739130434782)</f>
        <v>0.598073913</v>
      </c>
      <c r="C1152" s="25">
        <f>IFERROR(__xludf.DUMMYFUNCTION("""COMPUTED_VALUE"""),0.5135000000000001)</f>
        <v>0.5135</v>
      </c>
      <c r="D1152" s="25">
        <f>IFERROR(__xludf.DUMMYFUNCTION("""COMPUTED_VALUE"""),0.6955)</f>
        <v>0.6955</v>
      </c>
      <c r="E1152" s="23">
        <f>IFERROR(__xludf.DUMMYFUNCTION("""COMPUTED_VALUE"""),0.54998)</f>
        <v>0.54998</v>
      </c>
      <c r="F1152" s="23">
        <f>IFERROR(__xludf.DUMMYFUNCTION("""COMPUTED_VALUE"""),0.5140658321428572)</f>
        <v>0.5140658321</v>
      </c>
      <c r="G1152" s="23"/>
      <c r="H1152" s="23"/>
      <c r="J1152" s="26"/>
    </row>
    <row r="1153">
      <c r="A1153" s="24">
        <f>IFERROR(__xludf.DUMMYFUNCTION("""COMPUTED_VALUE"""),45713.0)</f>
        <v>45713</v>
      </c>
      <c r="B1153" s="23">
        <f>IFERROR(__xludf.DUMMYFUNCTION("""COMPUTED_VALUE"""),0.5980739130434782)</f>
        <v>0.598073913</v>
      </c>
      <c r="C1153" s="25">
        <f>IFERROR(__xludf.DUMMYFUNCTION("""COMPUTED_VALUE"""),0.5135000000000001)</f>
        <v>0.5135</v>
      </c>
      <c r="D1153" s="25">
        <f>IFERROR(__xludf.DUMMYFUNCTION("""COMPUTED_VALUE"""),0.6955)</f>
        <v>0.6955</v>
      </c>
      <c r="E1153" s="23">
        <f>IFERROR(__xludf.DUMMYFUNCTION("""COMPUTED_VALUE"""),0.5414964285714287)</f>
        <v>0.5414964286</v>
      </c>
      <c r="F1153" s="23">
        <f>IFERROR(__xludf.DUMMYFUNCTION("""COMPUTED_VALUE"""),0.5079179178571429)</f>
        <v>0.5079179179</v>
      </c>
      <c r="G1153" s="23"/>
      <c r="H1153" s="23"/>
      <c r="J1153" s="26"/>
    </row>
    <row r="1154">
      <c r="A1154" s="24">
        <f>IFERROR(__xludf.DUMMYFUNCTION("""COMPUTED_VALUE"""),45714.0)</f>
        <v>45714</v>
      </c>
      <c r="B1154" s="23">
        <f>IFERROR(__xludf.DUMMYFUNCTION("""COMPUTED_VALUE"""),0.5980739130434782)</f>
        <v>0.598073913</v>
      </c>
      <c r="C1154" s="25">
        <f>IFERROR(__xludf.DUMMYFUNCTION("""COMPUTED_VALUE"""),0.5135000000000001)</f>
        <v>0.5135</v>
      </c>
      <c r="D1154" s="25">
        <f>IFERROR(__xludf.DUMMYFUNCTION("""COMPUTED_VALUE"""),0.6955)</f>
        <v>0.6955</v>
      </c>
      <c r="E1154" s="23">
        <f>IFERROR(__xludf.DUMMYFUNCTION("""COMPUTED_VALUE"""),0.5313314285714286)</f>
        <v>0.5313314286</v>
      </c>
      <c r="F1154" s="23">
        <f>IFERROR(__xludf.DUMMYFUNCTION("""COMPUTED_VALUE"""),0.4993537142857143)</f>
        <v>0.4993537143</v>
      </c>
      <c r="G1154" s="23"/>
      <c r="H1154" s="23"/>
      <c r="J1154" s="26"/>
    </row>
    <row r="1155">
      <c r="A1155" s="24">
        <f>IFERROR(__xludf.DUMMYFUNCTION("""COMPUTED_VALUE"""),45715.0)</f>
        <v>45715</v>
      </c>
      <c r="B1155" s="23">
        <f>IFERROR(__xludf.DUMMYFUNCTION("""COMPUTED_VALUE"""),0.5980739130434782)</f>
        <v>0.598073913</v>
      </c>
      <c r="C1155" s="25">
        <f>IFERROR(__xludf.DUMMYFUNCTION("""COMPUTED_VALUE"""),0.5135000000000001)</f>
        <v>0.5135</v>
      </c>
      <c r="D1155" s="25">
        <f>IFERROR(__xludf.DUMMYFUNCTION("""COMPUTED_VALUE"""),0.6955)</f>
        <v>0.6955</v>
      </c>
      <c r="E1155" s="23">
        <f>IFERROR(__xludf.DUMMYFUNCTION("""COMPUTED_VALUE"""),0.5174214285714285)</f>
        <v>0.5174214286</v>
      </c>
      <c r="F1155" s="23">
        <f>IFERROR(__xludf.DUMMYFUNCTION("""COMPUTED_VALUE"""),0.4963710892857143)</f>
        <v>0.4963710893</v>
      </c>
      <c r="G1155" s="23"/>
      <c r="H1155" s="23"/>
      <c r="J1155" s="26"/>
    </row>
    <row r="1156">
      <c r="A1156" s="24">
        <f>IFERROR(__xludf.DUMMYFUNCTION("""COMPUTED_VALUE"""),45716.0)</f>
        <v>45716</v>
      </c>
      <c r="B1156" s="23">
        <f>IFERROR(__xludf.DUMMYFUNCTION("""COMPUTED_VALUE"""),0.5980739130434782)</f>
        <v>0.598073913</v>
      </c>
      <c r="C1156" s="25">
        <f>IFERROR(__xludf.DUMMYFUNCTION("""COMPUTED_VALUE"""),0.5135000000000001)</f>
        <v>0.5135</v>
      </c>
      <c r="D1156" s="25">
        <f>IFERROR(__xludf.DUMMYFUNCTION("""COMPUTED_VALUE"""),0.6955)</f>
        <v>0.6955</v>
      </c>
      <c r="E1156" s="23">
        <f>IFERROR(__xludf.DUMMYFUNCTION("""COMPUTED_VALUE"""),0.5083264285714285)</f>
        <v>0.5083264286</v>
      </c>
      <c r="F1156" s="23">
        <f>IFERROR(__xludf.DUMMYFUNCTION("""COMPUTED_VALUE"""),0.49255768571428565)</f>
        <v>0.4925576857</v>
      </c>
      <c r="G1156" s="23"/>
      <c r="H1156" s="23"/>
      <c r="J1156" s="26"/>
    </row>
    <row r="1157">
      <c r="A1157" s="24">
        <f>IFERROR(__xludf.DUMMYFUNCTION("""COMPUTED_VALUE"""),45717.0)</f>
        <v>45717</v>
      </c>
      <c r="B1157" s="23">
        <f>IFERROR(__xludf.DUMMYFUNCTION("""COMPUTED_VALUE"""),0.5980739130434782)</f>
        <v>0.598073913</v>
      </c>
      <c r="C1157" s="25">
        <f>IFERROR(__xludf.DUMMYFUNCTION("""COMPUTED_VALUE"""),0.5135000000000001)</f>
        <v>0.5135</v>
      </c>
      <c r="D1157" s="25">
        <f>IFERROR(__xludf.DUMMYFUNCTION("""COMPUTED_VALUE"""),0.6955)</f>
        <v>0.6955</v>
      </c>
      <c r="E1157" s="23">
        <f>IFERROR(__xludf.DUMMYFUNCTION("""COMPUTED_VALUE"""),0.5048107142857142)</f>
        <v>0.5048107143</v>
      </c>
      <c r="F1157" s="23">
        <f>IFERROR(__xludf.DUMMYFUNCTION("""COMPUTED_VALUE"""),0.48874428214285714)</f>
        <v>0.4887442821</v>
      </c>
      <c r="G1157" s="23"/>
      <c r="H1157" s="23"/>
      <c r="J1157" s="26"/>
    </row>
    <row r="1158">
      <c r="A1158" s="24">
        <f>IFERROR(__xludf.DUMMYFUNCTION("""COMPUTED_VALUE"""),45718.0)</f>
        <v>45718</v>
      </c>
      <c r="B1158" s="23">
        <f>IFERROR(__xludf.DUMMYFUNCTION("""COMPUTED_VALUE"""),0.5980739130434782)</f>
        <v>0.598073913</v>
      </c>
      <c r="C1158" s="25">
        <f>IFERROR(__xludf.DUMMYFUNCTION("""COMPUTED_VALUE"""),0.5135000000000001)</f>
        <v>0.5135</v>
      </c>
      <c r="D1158" s="25">
        <f>IFERROR(__xludf.DUMMYFUNCTION("""COMPUTED_VALUE"""),0.6955)</f>
        <v>0.6955</v>
      </c>
      <c r="E1158" s="23">
        <f>IFERROR(__xludf.DUMMYFUNCTION("""COMPUTED_VALUE"""),0.5012949999999999)</f>
        <v>0.501295</v>
      </c>
      <c r="F1158" s="23">
        <f>IFERROR(__xludf.DUMMYFUNCTION("""COMPUTED_VALUE"""),0.4849308785714285)</f>
        <v>0.4849308786</v>
      </c>
      <c r="G1158" s="23"/>
      <c r="H1158" s="23"/>
      <c r="J1158" s="26"/>
    </row>
    <row r="1159">
      <c r="A1159" s="24">
        <f>IFERROR(__xludf.DUMMYFUNCTION("""COMPUTED_VALUE"""),45719.0)</f>
        <v>45719</v>
      </c>
      <c r="B1159" s="23">
        <f>IFERROR(__xludf.DUMMYFUNCTION("""COMPUTED_VALUE"""),0.5980739130434782)</f>
        <v>0.598073913</v>
      </c>
      <c r="C1159" s="25">
        <f>IFERROR(__xludf.DUMMYFUNCTION("""COMPUTED_VALUE"""),0.5135000000000001)</f>
        <v>0.5135</v>
      </c>
      <c r="D1159" s="25">
        <f>IFERROR(__xludf.DUMMYFUNCTION("""COMPUTED_VALUE"""),0.6955)</f>
        <v>0.6955</v>
      </c>
      <c r="E1159" s="23">
        <f>IFERROR(__xludf.DUMMYFUNCTION("""COMPUTED_VALUE"""),0.4967857142857143)</f>
        <v>0.4967857143</v>
      </c>
      <c r="F1159" s="23">
        <f>IFERROR(__xludf.DUMMYFUNCTION("""COMPUTED_VALUE"""),0.48244771428571426)</f>
        <v>0.4824477143</v>
      </c>
      <c r="G1159" s="23"/>
      <c r="H1159" s="23"/>
      <c r="J1159" s="26"/>
    </row>
    <row r="1160">
      <c r="A1160" s="24">
        <f>IFERROR(__xludf.DUMMYFUNCTION("""COMPUTED_VALUE"""),45720.0)</f>
        <v>45720</v>
      </c>
      <c r="B1160" s="23">
        <f>IFERROR(__xludf.DUMMYFUNCTION("""COMPUTED_VALUE"""),0.5980739130434782)</f>
        <v>0.598073913</v>
      </c>
      <c r="C1160" s="25">
        <f>IFERROR(__xludf.DUMMYFUNCTION("""COMPUTED_VALUE"""),0.5135000000000001)</f>
        <v>0.5135</v>
      </c>
      <c r="D1160" s="25">
        <f>IFERROR(__xludf.DUMMYFUNCTION("""COMPUTED_VALUE"""),0.6955)</f>
        <v>0.6955</v>
      </c>
      <c r="E1160" s="23">
        <f>IFERROR(__xludf.DUMMYFUNCTION("""COMPUTED_VALUE"""),0.49380499999999994)</f>
        <v>0.493805</v>
      </c>
      <c r="F1160" s="23">
        <f>IFERROR(__xludf.DUMMYFUNCTION("""COMPUTED_VALUE"""),0.4810525107142857)</f>
        <v>0.4810525107</v>
      </c>
      <c r="G1160" s="23"/>
      <c r="H1160" s="23"/>
      <c r="J1160" s="26"/>
    </row>
    <row r="1161">
      <c r="A1161" s="24">
        <f>IFERROR(__xludf.DUMMYFUNCTION("""COMPUTED_VALUE"""),45721.0)</f>
        <v>45721</v>
      </c>
      <c r="B1161" s="23">
        <f>IFERROR(__xludf.DUMMYFUNCTION("""COMPUTED_VALUE"""),0.5980739130434782)</f>
        <v>0.598073913</v>
      </c>
      <c r="C1161" s="25">
        <f>IFERROR(__xludf.DUMMYFUNCTION("""COMPUTED_VALUE"""),0.5135000000000001)</f>
        <v>0.5135</v>
      </c>
      <c r="D1161" s="25">
        <f>IFERROR(__xludf.DUMMYFUNCTION("""COMPUTED_VALUE"""),0.6955)</f>
        <v>0.6955</v>
      </c>
      <c r="E1161" s="23">
        <f>IFERROR(__xludf.DUMMYFUNCTION("""COMPUTED_VALUE"""),0.48914285714285716)</f>
        <v>0.4891428571</v>
      </c>
      <c r="F1161" s="23">
        <f>IFERROR(__xludf.DUMMYFUNCTION("""COMPUTED_VALUE"""),0.47986251785714285)</f>
        <v>0.4798625179</v>
      </c>
      <c r="G1161" s="23"/>
      <c r="H1161" s="23"/>
      <c r="J1161" s="26"/>
    </row>
    <row r="1162">
      <c r="A1162" s="24">
        <f>IFERROR(__xludf.DUMMYFUNCTION("""COMPUTED_VALUE"""),45722.0)</f>
        <v>45722</v>
      </c>
      <c r="B1162" s="23">
        <f>IFERROR(__xludf.DUMMYFUNCTION("""COMPUTED_VALUE"""),0.5980739130434782)</f>
        <v>0.598073913</v>
      </c>
      <c r="C1162" s="25">
        <f>IFERROR(__xludf.DUMMYFUNCTION("""COMPUTED_VALUE"""),0.5135000000000001)</f>
        <v>0.5135</v>
      </c>
      <c r="D1162" s="25">
        <f>IFERROR(__xludf.DUMMYFUNCTION("""COMPUTED_VALUE"""),0.6955)</f>
        <v>0.6955</v>
      </c>
      <c r="E1162" s="23">
        <f>IFERROR(__xludf.DUMMYFUNCTION("""COMPUTED_VALUE"""),0.48600928571428575)</f>
        <v>0.4860092857</v>
      </c>
      <c r="F1162" s="23">
        <f>IFERROR(__xludf.DUMMYFUNCTION("""COMPUTED_VALUE"""),0.470034567857143)</f>
        <v>0.4700345679</v>
      </c>
      <c r="G1162" s="23"/>
      <c r="H1162" s="23"/>
      <c r="J1162" s="26"/>
    </row>
    <row r="1163">
      <c r="A1163" s="24">
        <f>IFERROR(__xludf.DUMMYFUNCTION("""COMPUTED_VALUE"""),45723.0)</f>
        <v>45723</v>
      </c>
      <c r="B1163" s="23">
        <f>IFERROR(__xludf.DUMMYFUNCTION("""COMPUTED_VALUE"""),0.5980739130434782)</f>
        <v>0.598073913</v>
      </c>
      <c r="C1163" s="25">
        <f>IFERROR(__xludf.DUMMYFUNCTION("""COMPUTED_VALUE"""),0.5135000000000001)</f>
        <v>0.5135</v>
      </c>
      <c r="D1163" s="25">
        <f>IFERROR(__xludf.DUMMYFUNCTION("""COMPUTED_VALUE"""),0.6955)</f>
        <v>0.6955</v>
      </c>
      <c r="E1163" s="23">
        <f>IFERROR(__xludf.DUMMYFUNCTION("""COMPUTED_VALUE"""),0.47576785714285713)</f>
        <v>0.4757678571</v>
      </c>
      <c r="F1163" s="23">
        <f>IFERROR(__xludf.DUMMYFUNCTION("""COMPUTED_VALUE"""),0.4631579071428572)</f>
        <v>0.4631579071</v>
      </c>
      <c r="G1163" s="23"/>
      <c r="H1163" s="23"/>
      <c r="J1163" s="26"/>
    </row>
    <row r="1164">
      <c r="A1164" s="24">
        <f>IFERROR(__xludf.DUMMYFUNCTION("""COMPUTED_VALUE"""),45724.0)</f>
        <v>45724</v>
      </c>
      <c r="B1164" s="23">
        <f>IFERROR(__xludf.DUMMYFUNCTION("""COMPUTED_VALUE"""),0.5980739130434782)</f>
        <v>0.598073913</v>
      </c>
      <c r="C1164" s="25">
        <f>IFERROR(__xludf.DUMMYFUNCTION("""COMPUTED_VALUE"""),0.5135000000000001)</f>
        <v>0.5135</v>
      </c>
      <c r="D1164" s="25">
        <f>IFERROR(__xludf.DUMMYFUNCTION("""COMPUTED_VALUE"""),0.6955)</f>
        <v>0.6955</v>
      </c>
      <c r="E1164" s="23">
        <f>IFERROR(__xludf.DUMMYFUNCTION("""COMPUTED_VALUE"""),0.46873642857142855)</f>
        <v>0.4687364286</v>
      </c>
      <c r="F1164" s="23">
        <f>IFERROR(__xludf.DUMMYFUNCTION("""COMPUTED_VALUE"""),0.4562812464285715)</f>
        <v>0.4562812464</v>
      </c>
      <c r="G1164" s="23"/>
      <c r="H1164" s="23"/>
      <c r="J1164" s="26"/>
    </row>
    <row r="1165">
      <c r="A1165" s="24">
        <f>IFERROR(__xludf.DUMMYFUNCTION("""COMPUTED_VALUE"""),45725.0)</f>
        <v>45725</v>
      </c>
      <c r="B1165" s="23">
        <f>IFERROR(__xludf.DUMMYFUNCTION("""COMPUTED_VALUE"""),0.5980739130434782)</f>
        <v>0.598073913</v>
      </c>
      <c r="C1165" s="25">
        <f>IFERROR(__xludf.DUMMYFUNCTION("""COMPUTED_VALUE"""),0.5135000000000001)</f>
        <v>0.5135</v>
      </c>
      <c r="D1165" s="25">
        <f>IFERROR(__xludf.DUMMYFUNCTION("""COMPUTED_VALUE"""),0.6955)</f>
        <v>0.6955</v>
      </c>
      <c r="E1165" s="23">
        <f>IFERROR(__xludf.DUMMYFUNCTION("""COMPUTED_VALUE"""),0.461705)</f>
        <v>0.461705</v>
      </c>
      <c r="F1165" s="23">
        <f>IFERROR(__xludf.DUMMYFUNCTION("""COMPUTED_VALUE"""),0.4494045857142858)</f>
        <v>0.4494045857</v>
      </c>
      <c r="G1165" s="23"/>
      <c r="H1165" s="23"/>
      <c r="J1165" s="26"/>
    </row>
    <row r="1166">
      <c r="A1166" s="24">
        <f>IFERROR(__xludf.DUMMYFUNCTION("""COMPUTED_VALUE"""),45726.0)</f>
        <v>45726</v>
      </c>
      <c r="B1166" s="23">
        <f>IFERROR(__xludf.DUMMYFUNCTION("""COMPUTED_VALUE"""),0.5814583333333333)</f>
        <v>0.5814583333</v>
      </c>
      <c r="C1166" s="25">
        <f>IFERROR(__xludf.DUMMYFUNCTION("""COMPUTED_VALUE"""),0.5035000000000001)</f>
        <v>0.5035</v>
      </c>
      <c r="D1166" s="25">
        <f>IFERROR(__xludf.DUMMYFUNCTION("""COMPUTED_VALUE"""),0.6719999999999999)</f>
        <v>0.672</v>
      </c>
      <c r="E1166" s="23">
        <f>IFERROR(__xludf.DUMMYFUNCTION("""COMPUTED_VALUE"""),0.4528392857142857)</f>
        <v>0.4528392857</v>
      </c>
      <c r="F1166" s="23">
        <f>IFERROR(__xludf.DUMMYFUNCTION("""COMPUTED_VALUE"""),0.4430533714285715)</f>
        <v>0.4430533714</v>
      </c>
      <c r="G1166" s="23"/>
      <c r="H1166" s="23"/>
      <c r="J1166" s="26"/>
    </row>
    <row r="1167">
      <c r="A1167" s="24">
        <f>IFERROR(__xludf.DUMMYFUNCTION("""COMPUTED_VALUE"""),45727.0)</f>
        <v>45727</v>
      </c>
      <c r="B1167" s="23">
        <f>IFERROR(__xludf.DUMMYFUNCTION("""COMPUTED_VALUE"""),0.5814583333333333)</f>
        <v>0.5814583333</v>
      </c>
      <c r="C1167" s="25">
        <f>IFERROR(__xludf.DUMMYFUNCTION("""COMPUTED_VALUE"""),0.5035000000000001)</f>
        <v>0.5035</v>
      </c>
      <c r="D1167" s="25">
        <f>IFERROR(__xludf.DUMMYFUNCTION("""COMPUTED_VALUE"""),0.6719999999999999)</f>
        <v>0.672</v>
      </c>
      <c r="E1167" s="23">
        <f>IFERROR(__xludf.DUMMYFUNCTION("""COMPUTED_VALUE"""),0.4443557142857143)</f>
        <v>0.4443557143</v>
      </c>
      <c r="F1167" s="23">
        <f>IFERROR(__xludf.DUMMYFUNCTION("""COMPUTED_VALUE"""),0.4417277178571429)</f>
        <v>0.4417277179</v>
      </c>
      <c r="G1167" s="23"/>
      <c r="H1167" s="23"/>
      <c r="J1167" s="26"/>
    </row>
    <row r="1168">
      <c r="A1168" s="24">
        <f>IFERROR(__xludf.DUMMYFUNCTION("""COMPUTED_VALUE"""),45728.0)</f>
        <v>45728</v>
      </c>
      <c r="B1168" s="23">
        <f>IFERROR(__xludf.DUMMYFUNCTION("""COMPUTED_VALUE"""),0.5814583333333333)</f>
        <v>0.5814583333</v>
      </c>
      <c r="C1168" s="25">
        <f>IFERROR(__xludf.DUMMYFUNCTION("""COMPUTED_VALUE"""),0.5035000000000001)</f>
        <v>0.5035</v>
      </c>
      <c r="D1168" s="25">
        <f>IFERROR(__xludf.DUMMYFUNCTION("""COMPUTED_VALUE"""),0.6719999999999999)</f>
        <v>0.672</v>
      </c>
      <c r="E1168" s="23">
        <f>IFERROR(__xludf.DUMMYFUNCTION("""COMPUTED_VALUE"""),0.44198642857142856)</f>
        <v>0.4419864286</v>
      </c>
      <c r="F1168" s="23">
        <f>IFERROR(__xludf.DUMMYFUNCTION("""COMPUTED_VALUE"""),0.44278778214285713)</f>
        <v>0.4427877821</v>
      </c>
      <c r="G1168" s="23"/>
      <c r="H1168" s="23"/>
      <c r="J1168" s="26"/>
    </row>
    <row r="1169">
      <c r="A1169" s="24">
        <f>IFERROR(__xludf.DUMMYFUNCTION("""COMPUTED_VALUE"""),45729.0)</f>
        <v>45729</v>
      </c>
      <c r="B1169" s="23">
        <f>IFERROR(__xludf.DUMMYFUNCTION("""COMPUTED_VALUE"""),0.5814583333333333)</f>
        <v>0.5814583333</v>
      </c>
      <c r="C1169" s="25">
        <f>IFERROR(__xludf.DUMMYFUNCTION("""COMPUTED_VALUE"""),0.5035000000000001)</f>
        <v>0.5035</v>
      </c>
      <c r="D1169" s="25">
        <f>IFERROR(__xludf.DUMMYFUNCTION("""COMPUTED_VALUE"""),0.6719999999999999)</f>
        <v>0.672</v>
      </c>
      <c r="E1169" s="23">
        <f>IFERROR(__xludf.DUMMYFUNCTION("""COMPUTED_VALUE"""),0.4418335714285714)</f>
        <v>0.4418335714</v>
      </c>
      <c r="F1169" s="23">
        <f>IFERROR(__xludf.DUMMYFUNCTION("""COMPUTED_VALUE"""),0.44718204285714286)</f>
        <v>0.4471820429</v>
      </c>
      <c r="G1169" s="23"/>
      <c r="H1169" s="23"/>
      <c r="J1169" s="26"/>
    </row>
    <row r="1170">
      <c r="A1170" s="24">
        <f>IFERROR(__xludf.DUMMYFUNCTION("""COMPUTED_VALUE"""),45730.0)</f>
        <v>45730</v>
      </c>
      <c r="B1170" s="23">
        <f>IFERROR(__xludf.DUMMYFUNCTION("""COMPUTED_VALUE"""),0.5814583333333333)</f>
        <v>0.5814583333</v>
      </c>
      <c r="C1170" s="25">
        <f>IFERROR(__xludf.DUMMYFUNCTION("""COMPUTED_VALUE"""),0.5035000000000001)</f>
        <v>0.5035</v>
      </c>
      <c r="D1170" s="25">
        <f>IFERROR(__xludf.DUMMYFUNCTION("""COMPUTED_VALUE"""),0.6719999999999999)</f>
        <v>0.672</v>
      </c>
      <c r="E1170" s="23">
        <f>IFERROR(__xludf.DUMMYFUNCTION("""COMPUTED_VALUE"""),0.4486357142857142)</f>
        <v>0.4486357143</v>
      </c>
      <c r="F1170" s="23">
        <f>IFERROR(__xludf.DUMMYFUNCTION("""COMPUTED_VALUE"""),0.44960330000000004)</f>
        <v>0.4496033</v>
      </c>
      <c r="G1170" s="23"/>
      <c r="H1170" s="23"/>
      <c r="J1170" s="26"/>
    </row>
    <row r="1171">
      <c r="A1171" s="24">
        <f>IFERROR(__xludf.DUMMYFUNCTION("""COMPUTED_VALUE"""),45731.0)</f>
        <v>45731</v>
      </c>
      <c r="B1171" s="23">
        <f>IFERROR(__xludf.DUMMYFUNCTION("""COMPUTED_VALUE"""),0.5814583333333333)</f>
        <v>0.5814583333</v>
      </c>
      <c r="C1171" s="25">
        <f>IFERROR(__xludf.DUMMYFUNCTION("""COMPUTED_VALUE"""),0.5035000000000001)</f>
        <v>0.5035</v>
      </c>
      <c r="D1171" s="25">
        <f>IFERROR(__xludf.DUMMYFUNCTION("""COMPUTED_VALUE"""),0.6719999999999999)</f>
        <v>0.672</v>
      </c>
      <c r="E1171" s="23">
        <f>IFERROR(__xludf.DUMMYFUNCTION("""COMPUTED_VALUE"""),0.4509285714285714)</f>
        <v>0.4509285714</v>
      </c>
      <c r="F1171" s="23">
        <f>IFERROR(__xludf.DUMMYFUNCTION("""COMPUTED_VALUE"""),0.45202455714285705)</f>
        <v>0.4520245571</v>
      </c>
      <c r="G1171" s="23"/>
      <c r="H1171" s="23"/>
      <c r="J1171" s="26"/>
    </row>
    <row r="1172">
      <c r="A1172" s="24">
        <f>IFERROR(__xludf.DUMMYFUNCTION("""COMPUTED_VALUE"""),45732.0)</f>
        <v>45732</v>
      </c>
      <c r="B1172" s="23">
        <f>IFERROR(__xludf.DUMMYFUNCTION("""COMPUTED_VALUE"""),0.5814583333333333)</f>
        <v>0.5814583333</v>
      </c>
      <c r="C1172" s="25">
        <f>IFERROR(__xludf.DUMMYFUNCTION("""COMPUTED_VALUE"""),0.5035000000000001)</f>
        <v>0.5035</v>
      </c>
      <c r="D1172" s="25">
        <f>IFERROR(__xludf.DUMMYFUNCTION("""COMPUTED_VALUE"""),0.6719999999999999)</f>
        <v>0.672</v>
      </c>
      <c r="E1172" s="23">
        <f>IFERROR(__xludf.DUMMYFUNCTION("""COMPUTED_VALUE"""),0.45322142857142855)</f>
        <v>0.4532214286</v>
      </c>
      <c r="F1172" s="23">
        <f>IFERROR(__xludf.DUMMYFUNCTION("""COMPUTED_VALUE"""),0.45444581428571423)</f>
        <v>0.4544458143</v>
      </c>
      <c r="G1172" s="23"/>
      <c r="H1172" s="23"/>
      <c r="J1172" s="26"/>
    </row>
    <row r="1173">
      <c r="A1173" s="24">
        <f>IFERROR(__xludf.DUMMYFUNCTION("""COMPUTED_VALUE"""),45733.0)</f>
        <v>45733</v>
      </c>
      <c r="B1173" s="23">
        <f>IFERROR(__xludf.DUMMYFUNCTION("""COMPUTED_VALUE"""),0.5814583333333333)</f>
        <v>0.5814583333</v>
      </c>
      <c r="C1173" s="25">
        <f>IFERROR(__xludf.DUMMYFUNCTION("""COMPUTED_VALUE"""),0.5035000000000001)</f>
        <v>0.5035</v>
      </c>
      <c r="D1173" s="25">
        <f>IFERROR(__xludf.DUMMYFUNCTION("""COMPUTED_VALUE"""),0.6719999999999999)</f>
        <v>0.672</v>
      </c>
      <c r="E1173" s="23">
        <f>IFERROR(__xludf.DUMMYFUNCTION("""COMPUTED_VALUE"""),0.4565078571428571)</f>
        <v>0.4565078571</v>
      </c>
      <c r="F1173" s="23">
        <f>IFERROR(__xludf.DUMMYFUNCTION("""COMPUTED_VALUE"""),0.45391387142857137)</f>
        <v>0.4539138714</v>
      </c>
      <c r="G1173" s="23"/>
      <c r="H1173" s="23"/>
      <c r="J1173" s="26"/>
    </row>
    <row r="1174">
      <c r="A1174" s="24">
        <f>IFERROR(__xludf.DUMMYFUNCTION("""COMPUTED_VALUE"""),45734.0)</f>
        <v>45734</v>
      </c>
      <c r="B1174" s="23">
        <f>IFERROR(__xludf.DUMMYFUNCTION("""COMPUTED_VALUE"""),0.5814583333333333)</f>
        <v>0.5814583333</v>
      </c>
      <c r="C1174" s="25">
        <f>IFERROR(__xludf.DUMMYFUNCTION("""COMPUTED_VALUE"""),0.5035000000000001)</f>
        <v>0.5035</v>
      </c>
      <c r="D1174" s="25">
        <f>IFERROR(__xludf.DUMMYFUNCTION("""COMPUTED_VALUE"""),0.6719999999999999)</f>
        <v>0.672</v>
      </c>
      <c r="E1174" s="23">
        <f>IFERROR(__xludf.DUMMYFUNCTION("""COMPUTED_VALUE"""),0.45719571428571426)</f>
        <v>0.4571957143</v>
      </c>
      <c r="F1174" s="23">
        <f>IFERROR(__xludf.DUMMYFUNCTION("""COMPUTED_VALUE"""),0.4508093428571428)</f>
        <v>0.4508093429</v>
      </c>
      <c r="G1174" s="23"/>
      <c r="H1174" s="23"/>
      <c r="J1174" s="26"/>
    </row>
    <row r="1175">
      <c r="A1175" s="24">
        <f>IFERROR(__xludf.DUMMYFUNCTION("""COMPUTED_VALUE"""),45735.0)</f>
        <v>45735</v>
      </c>
      <c r="B1175" s="23">
        <f>IFERROR(__xludf.DUMMYFUNCTION("""COMPUTED_VALUE"""),0.5814583333333333)</f>
        <v>0.5814583333</v>
      </c>
      <c r="C1175" s="25">
        <f>IFERROR(__xludf.DUMMYFUNCTION("""COMPUTED_VALUE"""),0.5035000000000001)</f>
        <v>0.5035</v>
      </c>
      <c r="D1175" s="25">
        <f>IFERROR(__xludf.DUMMYFUNCTION("""COMPUTED_VALUE"""),0.6719999999999999)</f>
        <v>0.672</v>
      </c>
      <c r="E1175" s="23">
        <f>IFERROR(__xludf.DUMMYFUNCTION("""COMPUTED_VALUE"""),0.4565842857142857)</f>
        <v>0.4565842857</v>
      </c>
      <c r="F1175" s="23">
        <f>IFERROR(__xludf.DUMMYFUNCTION("""COMPUTED_VALUE"""),0.4523493785714285)</f>
        <v>0.4523493786</v>
      </c>
      <c r="G1175" s="23"/>
      <c r="H1175" s="23"/>
      <c r="J1175" s="26"/>
    </row>
    <row r="1176">
      <c r="A1176" s="24">
        <f>IFERROR(__xludf.DUMMYFUNCTION("""COMPUTED_VALUE"""),45736.0)</f>
        <v>45736</v>
      </c>
      <c r="B1176" s="23">
        <f>IFERROR(__xludf.DUMMYFUNCTION("""COMPUTED_VALUE"""),0.5814583333333333)</f>
        <v>0.5814583333</v>
      </c>
      <c r="C1176" s="25">
        <f>IFERROR(__xludf.DUMMYFUNCTION("""COMPUTED_VALUE"""),0.5035000000000001)</f>
        <v>0.5035</v>
      </c>
      <c r="D1176" s="25">
        <f>IFERROR(__xludf.DUMMYFUNCTION("""COMPUTED_VALUE"""),0.6719999999999999)</f>
        <v>0.672</v>
      </c>
      <c r="E1176" s="23">
        <f>IFERROR(__xludf.DUMMYFUNCTION("""COMPUTED_VALUE"""),0.45979428571428566)</f>
        <v>0.4597942857</v>
      </c>
      <c r="F1176" s="23">
        <f>IFERROR(__xludf.DUMMYFUNCTION("""COMPUTED_VALUE"""),0.4543819964285714)</f>
        <v>0.4543819964</v>
      </c>
      <c r="G1176" s="23"/>
      <c r="H1176" s="23"/>
      <c r="J1176" s="26"/>
    </row>
    <row r="1177">
      <c r="A1177" s="24">
        <f>IFERROR(__xludf.DUMMYFUNCTION("""COMPUTED_VALUE"""),45737.0)</f>
        <v>45737</v>
      </c>
      <c r="B1177" s="23">
        <f>IFERROR(__xludf.DUMMYFUNCTION("""COMPUTED_VALUE"""),0.5814583333333333)</f>
        <v>0.5814583333</v>
      </c>
      <c r="C1177" s="25">
        <f>IFERROR(__xludf.DUMMYFUNCTION("""COMPUTED_VALUE"""),0.5035000000000001)</f>
        <v>0.5035</v>
      </c>
      <c r="D1177" s="25">
        <f>IFERROR(__xludf.DUMMYFUNCTION("""COMPUTED_VALUE"""),0.6719999999999999)</f>
        <v>0.672</v>
      </c>
      <c r="E1177" s="23">
        <f>IFERROR(__xludf.DUMMYFUNCTION("""COMPUTED_VALUE"""),0.4604057142857143)</f>
        <v>0.4604057143</v>
      </c>
      <c r="F1177" s="23">
        <f>IFERROR(__xludf.DUMMYFUNCTION("""COMPUTED_VALUE"""),0.4565388107142857)</f>
        <v>0.4565388107</v>
      </c>
      <c r="G1177" s="23"/>
      <c r="H1177" s="23"/>
      <c r="J1177" s="26"/>
    </row>
    <row r="1178">
      <c r="A1178" s="24">
        <f>IFERROR(__xludf.DUMMYFUNCTION("""COMPUTED_VALUE"""),45738.0)</f>
        <v>45738</v>
      </c>
      <c r="B1178" s="23">
        <f>IFERROR(__xludf.DUMMYFUNCTION("""COMPUTED_VALUE"""),0.5814583333333333)</f>
        <v>0.5814583333</v>
      </c>
      <c r="C1178" s="25">
        <f>IFERROR(__xludf.DUMMYFUNCTION("""COMPUTED_VALUE"""),0.5035000000000001)</f>
        <v>0.5035</v>
      </c>
      <c r="D1178" s="25">
        <f>IFERROR(__xludf.DUMMYFUNCTION("""COMPUTED_VALUE"""),0.6719999999999999)</f>
        <v>0.672</v>
      </c>
      <c r="E1178" s="23">
        <f>IFERROR(__xludf.DUMMYFUNCTION("""COMPUTED_VALUE"""),0.4617814285714285)</f>
        <v>0.4617814286</v>
      </c>
      <c r="F1178" s="23">
        <f>IFERROR(__xludf.DUMMYFUNCTION("""COMPUTED_VALUE"""),0.458695625)</f>
        <v>0.458695625</v>
      </c>
      <c r="G1178" s="23"/>
      <c r="H1178" s="23"/>
      <c r="J1178" s="26"/>
    </row>
    <row r="1179">
      <c r="A1179" s="24">
        <f>IFERROR(__xludf.DUMMYFUNCTION("""COMPUTED_VALUE"""),45739.0)</f>
        <v>45739</v>
      </c>
      <c r="B1179" s="23">
        <f>IFERROR(__xludf.DUMMYFUNCTION("""COMPUTED_VALUE"""),0.5814583333333333)</f>
        <v>0.5814583333</v>
      </c>
      <c r="C1179" s="25">
        <f>IFERROR(__xludf.DUMMYFUNCTION("""COMPUTED_VALUE"""),0.5035000000000001)</f>
        <v>0.5035</v>
      </c>
      <c r="D1179" s="25">
        <f>IFERROR(__xludf.DUMMYFUNCTION("""COMPUTED_VALUE"""),0.6719999999999999)</f>
        <v>0.672</v>
      </c>
      <c r="E1179" s="23">
        <f>IFERROR(__xludf.DUMMYFUNCTION("""COMPUTED_VALUE"""),0.4631571428571428)</f>
        <v>0.4631571429</v>
      </c>
      <c r="F1179" s="23">
        <f>IFERROR(__xludf.DUMMYFUNCTION("""COMPUTED_VALUE"""),0.46085243928571423)</f>
        <v>0.4608524393</v>
      </c>
      <c r="G1179" s="23"/>
      <c r="H1179" s="23"/>
      <c r="J1179" s="26"/>
    </row>
    <row r="1180">
      <c r="A1180" s="24">
        <f>IFERROR(__xludf.DUMMYFUNCTION("""COMPUTED_VALUE"""),45740.0)</f>
        <v>45740</v>
      </c>
      <c r="B1180" s="23">
        <f>IFERROR(__xludf.DUMMYFUNCTION("""COMPUTED_VALUE"""),0.5578333333333333)</f>
        <v>0.5578333333</v>
      </c>
      <c r="C1180" s="25">
        <f>IFERROR(__xludf.DUMMYFUNCTION("""COMPUTED_VALUE"""),0.47150000000000003)</f>
        <v>0.4715</v>
      </c>
      <c r="D1180" s="25">
        <f>IFERROR(__xludf.DUMMYFUNCTION("""COMPUTED_VALUE"""),0.6234999999999999)</f>
        <v>0.6235</v>
      </c>
      <c r="E1180" s="23">
        <f>IFERROR(__xludf.DUMMYFUNCTION("""COMPUTED_VALUE"""),0.46346285714285707)</f>
        <v>0.4634628571</v>
      </c>
      <c r="F1180" s="23">
        <f>IFERROR(__xludf.DUMMYFUNCTION("""COMPUTED_VALUE"""),0.4645026678571429)</f>
        <v>0.4645026679</v>
      </c>
      <c r="G1180" s="23"/>
      <c r="H1180" s="23"/>
      <c r="J1180" s="26"/>
    </row>
    <row r="1181">
      <c r="A1181" s="24">
        <f>IFERROR(__xludf.DUMMYFUNCTION("""COMPUTED_VALUE"""),45741.0)</f>
        <v>45741</v>
      </c>
      <c r="B1181" s="23">
        <f>IFERROR(__xludf.DUMMYFUNCTION("""COMPUTED_VALUE"""),0.5578333333333333)</f>
        <v>0.5578333333</v>
      </c>
      <c r="C1181" s="25">
        <f>IFERROR(__xludf.DUMMYFUNCTION("""COMPUTED_VALUE"""),0.47150000000000003)</f>
        <v>0.4715</v>
      </c>
      <c r="D1181" s="25">
        <f>IFERROR(__xludf.DUMMYFUNCTION("""COMPUTED_VALUE"""),0.6234999999999999)</f>
        <v>0.6235</v>
      </c>
      <c r="E1181" s="23">
        <f>IFERROR(__xludf.DUMMYFUNCTION("""COMPUTED_VALUE"""),0.4651442857142857)</f>
        <v>0.4651442857</v>
      </c>
      <c r="F1181" s="23">
        <f>IFERROR(__xludf.DUMMYFUNCTION("""COMPUTED_VALUE"""),0.467084425)</f>
        <v>0.467084425</v>
      </c>
      <c r="G1181" s="23"/>
      <c r="H1181" s="23"/>
      <c r="J1181" s="26"/>
    </row>
    <row r="1182">
      <c r="A1182" s="24">
        <f>IFERROR(__xludf.DUMMYFUNCTION("""COMPUTED_VALUE"""),45742.0)</f>
        <v>45742</v>
      </c>
      <c r="B1182" s="23">
        <f>IFERROR(__xludf.DUMMYFUNCTION("""COMPUTED_VALUE"""),0.5578333333333333)</f>
        <v>0.5578333333</v>
      </c>
      <c r="C1182" s="25">
        <f>IFERROR(__xludf.DUMMYFUNCTION("""COMPUTED_VALUE"""),0.47150000000000003)</f>
        <v>0.4715</v>
      </c>
      <c r="D1182" s="25">
        <f>IFERROR(__xludf.DUMMYFUNCTION("""COMPUTED_VALUE"""),0.6234999999999999)</f>
        <v>0.6235</v>
      </c>
      <c r="E1182" s="23">
        <f>IFERROR(__xludf.DUMMYFUNCTION("""COMPUTED_VALUE"""),0.4658321428571428)</f>
        <v>0.4658321429</v>
      </c>
      <c r="F1182" s="23">
        <f>IFERROR(__xludf.DUMMYFUNCTION("""COMPUTED_VALUE"""),0.4649371642857143)</f>
        <v>0.4649371643</v>
      </c>
      <c r="G1182" s="23"/>
      <c r="H1182" s="23"/>
      <c r="J1182" s="26"/>
    </row>
    <row r="1183">
      <c r="A1183" s="24">
        <f>IFERROR(__xludf.DUMMYFUNCTION("""COMPUTED_VALUE"""),45743.0)</f>
        <v>45743</v>
      </c>
      <c r="B1183" s="23">
        <f>IFERROR(__xludf.DUMMYFUNCTION("""COMPUTED_VALUE"""),0.5578333333333333)</f>
        <v>0.5578333333</v>
      </c>
      <c r="C1183" s="25">
        <f>IFERROR(__xludf.DUMMYFUNCTION("""COMPUTED_VALUE"""),0.47150000000000003)</f>
        <v>0.4715</v>
      </c>
      <c r="D1183" s="25">
        <f>IFERROR(__xludf.DUMMYFUNCTION("""COMPUTED_VALUE"""),0.6234999999999999)</f>
        <v>0.6235</v>
      </c>
      <c r="E1183" s="23">
        <f>IFERROR(__xludf.DUMMYFUNCTION("""COMPUTED_VALUE"""),0.46124642857142856)</f>
        <v>0.4612464286</v>
      </c>
      <c r="F1183" s="23">
        <f>IFERROR(__xludf.DUMMYFUNCTION("""COMPUTED_VALUE"""),0.46331420357142855)</f>
        <v>0.4633142036</v>
      </c>
      <c r="G1183" s="23"/>
      <c r="H1183" s="23"/>
      <c r="J1183" s="26"/>
    </row>
    <row r="1184">
      <c r="A1184" s="24">
        <f>IFERROR(__xludf.DUMMYFUNCTION("""COMPUTED_VALUE"""),45744.0)</f>
        <v>45744</v>
      </c>
      <c r="B1184" s="23">
        <f>IFERROR(__xludf.DUMMYFUNCTION("""COMPUTED_VALUE"""),0.5578333333333333)</f>
        <v>0.5578333333</v>
      </c>
      <c r="C1184" s="25">
        <f>IFERROR(__xludf.DUMMYFUNCTION("""COMPUTED_VALUE"""),0.47150000000000003)</f>
        <v>0.4715</v>
      </c>
      <c r="D1184" s="25">
        <f>IFERROR(__xludf.DUMMYFUNCTION("""COMPUTED_VALUE"""),0.6234999999999999)</f>
        <v>0.6235</v>
      </c>
      <c r="E1184" s="23">
        <f>IFERROR(__xludf.DUMMYFUNCTION("""COMPUTED_VALUE"""),0.4581128571428571)</f>
        <v>0.4581128571</v>
      </c>
      <c r="F1184" s="23">
        <f>IFERROR(__xludf.DUMMYFUNCTION("""COMPUTED_VALUE"""),0.4611501285714285)</f>
        <v>0.4611501286</v>
      </c>
      <c r="G1184" s="23"/>
      <c r="H1184" s="23"/>
      <c r="J1184" s="26"/>
    </row>
    <row r="1185">
      <c r="A1185" s="24">
        <f>IFERROR(__xludf.DUMMYFUNCTION("""COMPUTED_VALUE"""),45745.0)</f>
        <v>45745</v>
      </c>
      <c r="B1185" s="23">
        <f>IFERROR(__xludf.DUMMYFUNCTION("""COMPUTED_VALUE"""),0.5578333333333333)</f>
        <v>0.5578333333</v>
      </c>
      <c r="C1185" s="25">
        <f>IFERROR(__xludf.DUMMYFUNCTION("""COMPUTED_VALUE"""),0.47150000000000003)</f>
        <v>0.4715</v>
      </c>
      <c r="D1185" s="25">
        <f>IFERROR(__xludf.DUMMYFUNCTION("""COMPUTED_VALUE"""),0.6234999999999999)</f>
        <v>0.6235</v>
      </c>
      <c r="E1185" s="23">
        <f>IFERROR(__xludf.DUMMYFUNCTION("""COMPUTED_VALUE"""),0.45780714285714286)</f>
        <v>0.4578071429</v>
      </c>
      <c r="F1185" s="23">
        <f>IFERROR(__xludf.DUMMYFUNCTION("""COMPUTED_VALUE"""),0.4589860535714285)</f>
        <v>0.4589860536</v>
      </c>
      <c r="G1185" s="23"/>
      <c r="H1185" s="23"/>
      <c r="J1185" s="26"/>
    </row>
    <row r="1186">
      <c r="A1186" s="24">
        <f>IFERROR(__xludf.DUMMYFUNCTION("""COMPUTED_VALUE"""),45746.0)</f>
        <v>45746</v>
      </c>
      <c r="B1186" s="23">
        <f>IFERROR(__xludf.DUMMYFUNCTION("""COMPUTED_VALUE"""),0.5578333333333333)</f>
        <v>0.5578333333</v>
      </c>
      <c r="C1186" s="25">
        <f>IFERROR(__xludf.DUMMYFUNCTION("""COMPUTED_VALUE"""),0.47150000000000003)</f>
        <v>0.4715</v>
      </c>
      <c r="D1186" s="25">
        <f>IFERROR(__xludf.DUMMYFUNCTION("""COMPUTED_VALUE"""),0.6234999999999999)</f>
        <v>0.6235</v>
      </c>
      <c r="E1186" s="23">
        <f>IFERROR(__xludf.DUMMYFUNCTION("""COMPUTED_VALUE"""),0.45750142857142845)</f>
        <v>0.4575014286</v>
      </c>
      <c r="F1186" s="23">
        <f>IFERROR(__xludf.DUMMYFUNCTION("""COMPUTED_VALUE"""),0.45682197857142853)</f>
        <v>0.4568219786</v>
      </c>
      <c r="G1186" s="23"/>
      <c r="H1186" s="23"/>
      <c r="J1186" s="26"/>
    </row>
    <row r="1187">
      <c r="A1187" s="24">
        <f>IFERROR(__xludf.DUMMYFUNCTION("""COMPUTED_VALUE"""),45747.0)</f>
        <v>45747</v>
      </c>
      <c r="B1187" s="23">
        <f>IFERROR(__xludf.DUMMYFUNCTION("""COMPUTED_VALUE"""),0.5578333333333333)</f>
        <v>0.5578333333</v>
      </c>
      <c r="C1187" s="25">
        <f>IFERROR(__xludf.DUMMYFUNCTION("""COMPUTED_VALUE"""),0.47150000000000003)</f>
        <v>0.4715</v>
      </c>
      <c r="D1187" s="25">
        <f>IFERROR(__xludf.DUMMYFUNCTION("""COMPUTED_VALUE"""),0.6234999999999999)</f>
        <v>0.6235</v>
      </c>
      <c r="E1187" s="23">
        <f>IFERROR(__xludf.DUMMYFUNCTION("""COMPUTED_VALUE"""),0.45780714285714286)</f>
        <v>0.4578071429</v>
      </c>
      <c r="F1187" s="23">
        <f>IFERROR(__xludf.DUMMYFUNCTION("""COMPUTED_VALUE"""),0.45499457142857136)</f>
        <v>0.4549945714</v>
      </c>
      <c r="G1187" s="23"/>
      <c r="H1187" s="23"/>
      <c r="J1187" s="26"/>
    </row>
    <row r="1188">
      <c r="A1188" s="24">
        <f>IFERROR(__xludf.DUMMYFUNCTION("""COMPUTED_VALUE"""),45748.0)</f>
        <v>45748</v>
      </c>
      <c r="B1188" s="23">
        <f>IFERROR(__xludf.DUMMYFUNCTION("""COMPUTED_VALUE"""),0.5578333333333333)</f>
        <v>0.5578333333</v>
      </c>
      <c r="C1188" s="25">
        <f>IFERROR(__xludf.DUMMYFUNCTION("""COMPUTED_VALUE"""),0.47150000000000003)</f>
        <v>0.4715</v>
      </c>
      <c r="D1188" s="25">
        <f>IFERROR(__xludf.DUMMYFUNCTION("""COMPUTED_VALUE"""),0.6234999999999999)</f>
        <v>0.6235</v>
      </c>
      <c r="E1188" s="23">
        <f>IFERROR(__xludf.DUMMYFUNCTION("""COMPUTED_VALUE"""),0.4565842857142857)</f>
        <v>0.4565842857</v>
      </c>
      <c r="F1188" s="23">
        <f>IFERROR(__xludf.DUMMYFUNCTION("""COMPUTED_VALUE"""),0.4565625035714285)</f>
        <v>0.4565625036</v>
      </c>
      <c r="G1188" s="23"/>
      <c r="H1188" s="23"/>
      <c r="J1188" s="26"/>
    </row>
    <row r="1189">
      <c r="A1189" s="24">
        <f>IFERROR(__xludf.DUMMYFUNCTION("""COMPUTED_VALUE"""),45749.0)</f>
        <v>45749</v>
      </c>
      <c r="B1189" s="23">
        <f>IFERROR(__xludf.DUMMYFUNCTION("""COMPUTED_VALUE"""),0.5578333333333333)</f>
        <v>0.5578333333</v>
      </c>
      <c r="C1189" s="25">
        <f>IFERROR(__xludf.DUMMYFUNCTION("""COMPUTED_VALUE"""),0.47150000000000003)</f>
        <v>0.4715</v>
      </c>
      <c r="D1189" s="25">
        <f>IFERROR(__xludf.DUMMYFUNCTION("""COMPUTED_VALUE"""),0.6234999999999999)</f>
        <v>0.6235</v>
      </c>
      <c r="E1189" s="23">
        <f>IFERROR(__xludf.DUMMYFUNCTION("""COMPUTED_VALUE"""),0.4571192857142857)</f>
        <v>0.4571192857</v>
      </c>
      <c r="F1189" s="23">
        <f>IFERROR(__xludf.DUMMYFUNCTION("""COMPUTED_VALUE"""),0.4580245821428571)</f>
        <v>0.4580245821</v>
      </c>
      <c r="G1189" s="23"/>
      <c r="H1189" s="23"/>
      <c r="J1189" s="26"/>
    </row>
    <row r="1190">
      <c r="A1190" s="24">
        <f>IFERROR(__xludf.DUMMYFUNCTION("""COMPUTED_VALUE"""),45750.0)</f>
        <v>45750</v>
      </c>
      <c r="B1190" s="23">
        <f>IFERROR(__xludf.DUMMYFUNCTION("""COMPUTED_VALUE"""),0.5578333333333333)</f>
        <v>0.5578333333</v>
      </c>
      <c r="C1190" s="25">
        <f>IFERROR(__xludf.DUMMYFUNCTION("""COMPUTED_VALUE"""),0.47150000000000003)</f>
        <v>0.4715</v>
      </c>
      <c r="D1190" s="25">
        <f>IFERROR(__xludf.DUMMYFUNCTION("""COMPUTED_VALUE"""),0.6234999999999999)</f>
        <v>0.6235</v>
      </c>
      <c r="E1190" s="23">
        <f>IFERROR(__xludf.DUMMYFUNCTION("""COMPUTED_VALUE"""),0.45864785714285716)</f>
        <v>0.4586478571</v>
      </c>
      <c r="F1190" s="23">
        <f>IFERROR(__xludf.DUMMYFUNCTION("""COMPUTED_VALUE"""),0.45666529999999994)</f>
        <v>0.4566653</v>
      </c>
      <c r="G1190" s="23"/>
      <c r="H1190" s="23"/>
      <c r="J1190" s="26"/>
    </row>
    <row r="1191">
      <c r="A1191" s="24">
        <f>IFERROR(__xludf.DUMMYFUNCTION("""COMPUTED_VALUE"""),45751.0)</f>
        <v>45751</v>
      </c>
      <c r="B1191" s="23">
        <f>IFERROR(__xludf.DUMMYFUNCTION("""COMPUTED_VALUE"""),0.5578333333333333)</f>
        <v>0.5578333333</v>
      </c>
      <c r="C1191" s="25">
        <f>IFERROR(__xludf.DUMMYFUNCTION("""COMPUTED_VALUE"""),0.47150000000000003)</f>
        <v>0.4715</v>
      </c>
      <c r="D1191" s="25">
        <f>IFERROR(__xludf.DUMMYFUNCTION("""COMPUTED_VALUE"""),0.6234999999999999)</f>
        <v>0.6235</v>
      </c>
      <c r="E1191" s="23">
        <f>IFERROR(__xludf.DUMMYFUNCTION("""COMPUTED_VALUE"""),0.4565078571428572)</f>
        <v>0.4565078571</v>
      </c>
      <c r="F1191" s="23">
        <f>IFERROR(__xludf.DUMMYFUNCTION("""COMPUTED_VALUE"""),0.44897773214285713)</f>
        <v>0.4489777321</v>
      </c>
      <c r="G1191" s="23"/>
      <c r="H1191" s="23"/>
      <c r="J1191" s="26"/>
    </row>
    <row r="1192">
      <c r="A1192" s="24">
        <f>IFERROR(__xludf.DUMMYFUNCTION("""COMPUTED_VALUE"""),45752.0)</f>
        <v>45752</v>
      </c>
      <c r="B1192" s="23">
        <f>IFERROR(__xludf.DUMMYFUNCTION("""COMPUTED_VALUE"""),0.5578333333333333)</f>
        <v>0.5578333333</v>
      </c>
      <c r="C1192" s="25">
        <f>IFERROR(__xludf.DUMMYFUNCTION("""COMPUTED_VALUE"""),0.47150000000000003)</f>
        <v>0.4715</v>
      </c>
      <c r="D1192" s="25">
        <f>IFERROR(__xludf.DUMMYFUNCTION("""COMPUTED_VALUE"""),0.6234999999999999)</f>
        <v>0.6235</v>
      </c>
      <c r="E1192" s="23">
        <f>IFERROR(__xludf.DUMMYFUNCTION("""COMPUTED_VALUE"""),0.44657214285714286)</f>
        <v>0.4465721429</v>
      </c>
      <c r="F1192" s="23">
        <f>IFERROR(__xludf.DUMMYFUNCTION("""COMPUTED_VALUE"""),0.4412901642857143)</f>
        <v>0.4412901643</v>
      </c>
      <c r="G1192" s="23"/>
      <c r="H1192" s="23"/>
      <c r="J1192" s="26"/>
    </row>
    <row r="1193">
      <c r="A1193" s="24">
        <f>IFERROR(__xludf.DUMMYFUNCTION("""COMPUTED_VALUE"""),45753.0)</f>
        <v>45753</v>
      </c>
      <c r="B1193" s="23">
        <f>IFERROR(__xludf.DUMMYFUNCTION("""COMPUTED_VALUE"""),0.5578333333333333)</f>
        <v>0.5578333333</v>
      </c>
      <c r="C1193" s="25">
        <f>IFERROR(__xludf.DUMMYFUNCTION("""COMPUTED_VALUE"""),0.47150000000000003)</f>
        <v>0.4715</v>
      </c>
      <c r="D1193" s="25">
        <f>IFERROR(__xludf.DUMMYFUNCTION("""COMPUTED_VALUE"""),0.6234999999999999)</f>
        <v>0.6235</v>
      </c>
      <c r="E1193" s="23">
        <f>IFERROR(__xludf.DUMMYFUNCTION("""COMPUTED_VALUE"""),0.43663642857142854)</f>
        <v>0.4366364286</v>
      </c>
      <c r="F1193" s="23">
        <f>IFERROR(__xludf.DUMMYFUNCTION("""COMPUTED_VALUE"""),0.43360259642857146)</f>
        <v>0.4336025964</v>
      </c>
      <c r="G1193" s="23"/>
      <c r="H1193" s="23"/>
      <c r="J1193" s="26"/>
    </row>
    <row r="1194">
      <c r="A1194" s="24">
        <f>IFERROR(__xludf.DUMMYFUNCTION("""COMPUTED_VALUE"""),45754.0)</f>
        <v>45754</v>
      </c>
      <c r="B1194" s="23">
        <f>IFERROR(__xludf.DUMMYFUNCTION("""COMPUTED_VALUE"""),0.5512799999999999)</f>
        <v>0.55128</v>
      </c>
      <c r="C1194" s="25">
        <f>IFERROR(__xludf.DUMMYFUNCTION("""COMPUTED_VALUE"""),0.4675)</f>
        <v>0.4675</v>
      </c>
      <c r="D1194" s="25">
        <f>IFERROR(__xludf.DUMMYFUNCTION("""COMPUTED_VALUE"""),0.6234999999999999)</f>
        <v>0.6235</v>
      </c>
      <c r="E1194" s="23">
        <f>IFERROR(__xludf.DUMMYFUNCTION("""COMPUTED_VALUE"""),0.4299871428571428)</f>
        <v>0.4299871429</v>
      </c>
      <c r="F1194" s="23">
        <f>IFERROR(__xludf.DUMMYFUNCTION("""COMPUTED_VALUE"""),0.42663078214285716)</f>
        <v>0.4266307821</v>
      </c>
      <c r="G1194" s="23"/>
      <c r="H1194" s="23"/>
      <c r="J1194" s="26"/>
    </row>
    <row r="1195">
      <c r="A1195" s="24">
        <f>IFERROR(__xludf.DUMMYFUNCTION("""COMPUTED_VALUE"""),45755.0)</f>
        <v>45755</v>
      </c>
      <c r="B1195" s="23">
        <f>IFERROR(__xludf.DUMMYFUNCTION("""COMPUTED_VALUE"""),0.5512799999999999)</f>
        <v>0.55128</v>
      </c>
      <c r="C1195" s="25">
        <f>IFERROR(__xludf.DUMMYFUNCTION("""COMPUTED_VALUE"""),0.4675)</f>
        <v>0.4675</v>
      </c>
      <c r="D1195" s="25">
        <f>IFERROR(__xludf.DUMMYFUNCTION("""COMPUTED_VALUE"""),0.6234999999999999)</f>
        <v>0.6235</v>
      </c>
      <c r="E1195" s="23">
        <f>IFERROR(__xludf.DUMMYFUNCTION("""COMPUTED_VALUE"""),0.4272357142857142)</f>
        <v>0.4272357143</v>
      </c>
      <c r="F1195" s="23">
        <f>IFERROR(__xludf.DUMMYFUNCTION("""COMPUTED_VALUE"""),0.4166545607142857)</f>
        <v>0.4166545607</v>
      </c>
      <c r="G1195" s="23"/>
      <c r="H1195" s="23"/>
      <c r="J1195" s="26"/>
    </row>
    <row r="1196">
      <c r="A1196" s="24">
        <f>IFERROR(__xludf.DUMMYFUNCTION("""COMPUTED_VALUE"""),45756.0)</f>
        <v>45756</v>
      </c>
      <c r="B1196" s="23">
        <f>IFERROR(__xludf.DUMMYFUNCTION("""COMPUTED_VALUE"""),0.5512799999999999)</f>
        <v>0.55128</v>
      </c>
      <c r="C1196" s="25">
        <f>IFERROR(__xludf.DUMMYFUNCTION("""COMPUTED_VALUE"""),0.4675)</f>
        <v>0.4675</v>
      </c>
      <c r="D1196" s="25">
        <f>IFERROR(__xludf.DUMMYFUNCTION("""COMPUTED_VALUE"""),0.6234999999999999)</f>
        <v>0.6235</v>
      </c>
      <c r="E1196" s="23">
        <f>IFERROR(__xludf.DUMMYFUNCTION("""COMPUTED_VALUE"""),0.42303214285714275)</f>
        <v>0.4230321429</v>
      </c>
      <c r="F1196" s="23">
        <f>IFERROR(__xludf.DUMMYFUNCTION("""COMPUTED_VALUE"""),0.4047909357142857)</f>
        <v>0.4047909357</v>
      </c>
      <c r="G1196" s="23"/>
      <c r="H1196" s="23"/>
      <c r="J1196" s="26"/>
    </row>
    <row r="1197">
      <c r="A1197" s="24">
        <f>IFERROR(__xludf.DUMMYFUNCTION("""COMPUTED_VALUE"""),45757.0)</f>
        <v>45757</v>
      </c>
      <c r="B1197" s="23">
        <f>IFERROR(__xludf.DUMMYFUNCTION("""COMPUTED_VALUE"""),0.5512799999999999)</f>
        <v>0.55128</v>
      </c>
      <c r="C1197" s="25">
        <f>IFERROR(__xludf.DUMMYFUNCTION("""COMPUTED_VALUE"""),0.4675)</f>
        <v>0.4675</v>
      </c>
      <c r="D1197" s="25">
        <f>IFERROR(__xludf.DUMMYFUNCTION("""COMPUTED_VALUE"""),0.6234999999999999)</f>
        <v>0.6235</v>
      </c>
      <c r="E1197" s="23">
        <f>IFERROR(__xludf.DUMMYFUNCTION("""COMPUTED_VALUE"""),0.41661214285714276)</f>
        <v>0.4166121429</v>
      </c>
      <c r="F1197" s="23">
        <f>IFERROR(__xludf.DUMMYFUNCTION("""COMPUTED_VALUE"""),0.39470465714285713)</f>
        <v>0.3947046571</v>
      </c>
      <c r="G1197" s="23"/>
      <c r="H1197" s="23"/>
      <c r="J1197" s="26"/>
    </row>
    <row r="1198">
      <c r="A1198" s="24">
        <f>IFERROR(__xludf.DUMMYFUNCTION("""COMPUTED_VALUE"""),45758.0)</f>
        <v>45758</v>
      </c>
      <c r="B1198" s="23">
        <f>IFERROR(__xludf.DUMMYFUNCTION("""COMPUTED_VALUE"""),0.5512799999999999)</f>
        <v>0.55128</v>
      </c>
      <c r="C1198" s="25">
        <f>IFERROR(__xludf.DUMMYFUNCTION("""COMPUTED_VALUE"""),0.4675)</f>
        <v>0.4675</v>
      </c>
      <c r="D1198" s="25">
        <f>IFERROR(__xludf.DUMMYFUNCTION("""COMPUTED_VALUE"""),0.6234999999999999)</f>
        <v>0.6235</v>
      </c>
      <c r="E1198" s="23">
        <f>IFERROR(__xludf.DUMMYFUNCTION("""COMPUTED_VALUE"""),0.41256142857142847)</f>
        <v>0.4125614286</v>
      </c>
      <c r="F1198" s="23">
        <f>IFERROR(__xludf.DUMMYFUNCTION("""COMPUTED_VALUE"""),0.39173617142857137)</f>
        <v>0.3917361714</v>
      </c>
      <c r="G1198" s="23"/>
      <c r="H1198" s="23"/>
      <c r="J1198" s="26"/>
    </row>
    <row r="1199">
      <c r="A1199" s="24">
        <f>IFERROR(__xludf.DUMMYFUNCTION("""COMPUTED_VALUE"""),45759.0)</f>
        <v>45759</v>
      </c>
      <c r="B1199" s="23">
        <f>IFERROR(__xludf.DUMMYFUNCTION("""COMPUTED_VALUE"""),0.5512799999999999)</f>
        <v>0.55128</v>
      </c>
      <c r="C1199" s="25">
        <f>IFERROR(__xludf.DUMMYFUNCTION("""COMPUTED_VALUE"""),0.4675)</f>
        <v>0.4675</v>
      </c>
      <c r="D1199" s="25">
        <f>IFERROR(__xludf.DUMMYFUNCTION("""COMPUTED_VALUE"""),0.6234999999999999)</f>
        <v>0.6235</v>
      </c>
      <c r="E1199" s="23">
        <f>IFERROR(__xludf.DUMMYFUNCTION("""COMPUTED_VALUE"""),0.41126214285714285)</f>
        <v>0.4112621429</v>
      </c>
      <c r="F1199" s="23">
        <f>IFERROR(__xludf.DUMMYFUNCTION("""COMPUTED_VALUE"""),0.3887676857142857)</f>
        <v>0.3887676857</v>
      </c>
      <c r="G1199" s="23"/>
      <c r="H1199" s="23"/>
      <c r="J1199" s="26"/>
    </row>
    <row r="1200">
      <c r="A1200" s="24">
        <f>IFERROR(__xludf.DUMMYFUNCTION("""COMPUTED_VALUE"""),45760.0)</f>
        <v>45760</v>
      </c>
      <c r="B1200" s="23">
        <f>IFERROR(__xludf.DUMMYFUNCTION("""COMPUTED_VALUE"""),0.5512799999999999)</f>
        <v>0.55128</v>
      </c>
      <c r="C1200" s="25">
        <f>IFERROR(__xludf.DUMMYFUNCTION("""COMPUTED_VALUE"""),0.4675)</f>
        <v>0.4675</v>
      </c>
      <c r="D1200" s="25">
        <f>IFERROR(__xludf.DUMMYFUNCTION("""COMPUTED_VALUE"""),0.6234999999999999)</f>
        <v>0.6235</v>
      </c>
      <c r="E1200" s="23">
        <f>IFERROR(__xludf.DUMMYFUNCTION("""COMPUTED_VALUE"""),0.40996285714285713)</f>
        <v>0.4099628571</v>
      </c>
      <c r="F1200" s="23">
        <f>IFERROR(__xludf.DUMMYFUNCTION("""COMPUTED_VALUE"""),0.38579919999999995)</f>
        <v>0.3857992</v>
      </c>
      <c r="G1200" s="23"/>
      <c r="H1200" s="23"/>
      <c r="J1200" s="26"/>
    </row>
    <row r="1201">
      <c r="A1201" s="24">
        <f>IFERROR(__xludf.DUMMYFUNCTION("""COMPUTED_VALUE"""),45761.0)</f>
        <v>45761</v>
      </c>
      <c r="B1201" s="23">
        <f>IFERROR(__xludf.DUMMYFUNCTION("""COMPUTED_VALUE"""),0.5512799999999999)</f>
        <v>0.55128</v>
      </c>
      <c r="C1201" s="25">
        <f>IFERROR(__xludf.DUMMYFUNCTION("""COMPUTED_VALUE"""),0.4675)</f>
        <v>0.4675</v>
      </c>
      <c r="D1201" s="25">
        <f>IFERROR(__xludf.DUMMYFUNCTION("""COMPUTED_VALUE"""),0.6234999999999999)</f>
        <v>0.6235</v>
      </c>
      <c r="E1201" s="23">
        <f>IFERROR(__xludf.DUMMYFUNCTION("""COMPUTED_VALUE"""),0.40652357142857143)</f>
        <v>0.4065235714</v>
      </c>
      <c r="F1201" s="23">
        <f>IFERROR(__xludf.DUMMYFUNCTION("""COMPUTED_VALUE"""),0.38261671428571425)</f>
        <v>0.3826167143</v>
      </c>
      <c r="G1201" s="23"/>
      <c r="H1201" s="23"/>
      <c r="J1201" s="26"/>
    </row>
    <row r="1202">
      <c r="A1202" s="24">
        <f>IFERROR(__xludf.DUMMYFUNCTION("""COMPUTED_VALUE"""),45762.0)</f>
        <v>45762</v>
      </c>
      <c r="B1202" s="23">
        <f>IFERROR(__xludf.DUMMYFUNCTION("""COMPUTED_VALUE"""),0.5512799999999999)</f>
        <v>0.55128</v>
      </c>
      <c r="C1202" s="25">
        <f>IFERROR(__xludf.DUMMYFUNCTION("""COMPUTED_VALUE"""),0.4675)</f>
        <v>0.4675</v>
      </c>
      <c r="D1202" s="25">
        <f>IFERROR(__xludf.DUMMYFUNCTION("""COMPUTED_VALUE"""),0.6234999999999999)</f>
        <v>0.6235</v>
      </c>
      <c r="E1202" s="23">
        <f>IFERROR(__xludf.DUMMYFUNCTION("""COMPUTED_VALUE"""),0.4046892857142857)</f>
        <v>0.4046892857</v>
      </c>
      <c r="F1202" s="23">
        <f>IFERROR(__xludf.DUMMYFUNCTION("""COMPUTED_VALUE"""),0.3807644678571428)</f>
        <v>0.3807644679</v>
      </c>
      <c r="G1202" s="23"/>
      <c r="H1202" s="23"/>
      <c r="J1202" s="26"/>
    </row>
    <row r="1203">
      <c r="A1203" s="24">
        <f>IFERROR(__xludf.DUMMYFUNCTION("""COMPUTED_VALUE"""),45763.0)</f>
        <v>45763</v>
      </c>
      <c r="B1203" s="23">
        <f>IFERROR(__xludf.DUMMYFUNCTION("""COMPUTED_VALUE"""),0.5512799999999999)</f>
        <v>0.55128</v>
      </c>
      <c r="C1203" s="25">
        <f>IFERROR(__xludf.DUMMYFUNCTION("""COMPUTED_VALUE"""),0.4675)</f>
        <v>0.4675</v>
      </c>
      <c r="D1203" s="25">
        <f>IFERROR(__xludf.DUMMYFUNCTION("""COMPUTED_VALUE"""),0.6234999999999999)</f>
        <v>0.6235</v>
      </c>
      <c r="E1203" s="23">
        <f>IFERROR(__xludf.DUMMYFUNCTION("""COMPUTED_VALUE"""),0.40224357142857137)</f>
        <v>0.4022435714</v>
      </c>
      <c r="F1203" s="23">
        <f>IFERROR(__xludf.DUMMYFUNCTION("""COMPUTED_VALUE"""),0.3825467821428571)</f>
        <v>0.3825467821</v>
      </c>
      <c r="G1203" s="23"/>
      <c r="H1203" s="23"/>
      <c r="J1203" s="26"/>
    </row>
    <row r="1204">
      <c r="A1204" s="24">
        <f>IFERROR(__xludf.DUMMYFUNCTION("""COMPUTED_VALUE"""),45764.0)</f>
        <v>45764</v>
      </c>
      <c r="B1204" s="23">
        <f>IFERROR(__xludf.DUMMYFUNCTION("""COMPUTED_VALUE"""),0.5512799999999999)</f>
        <v>0.55128</v>
      </c>
      <c r="C1204" s="25">
        <f>IFERROR(__xludf.DUMMYFUNCTION("""COMPUTED_VALUE"""),0.4675)</f>
        <v>0.4675</v>
      </c>
      <c r="D1204" s="25">
        <f>IFERROR(__xludf.DUMMYFUNCTION("""COMPUTED_VALUE"""),0.6234999999999999)</f>
        <v>0.6235</v>
      </c>
      <c r="E1204" s="23">
        <f>IFERROR(__xludf.DUMMYFUNCTION("""COMPUTED_VALUE"""),0.4027785714285714)</f>
        <v>0.4027785714</v>
      </c>
      <c r="F1204" s="23">
        <f>IFERROR(__xludf.DUMMYFUNCTION("""COMPUTED_VALUE"""),0.3855649464285714)</f>
        <v>0.3855649464</v>
      </c>
      <c r="G1204" s="23"/>
      <c r="H1204" s="23"/>
      <c r="J1204" s="26"/>
    </row>
    <row r="1205">
      <c r="A1205" s="24">
        <f>IFERROR(__xludf.DUMMYFUNCTION("""COMPUTED_VALUE"""),45765.0)</f>
        <v>45765</v>
      </c>
      <c r="B1205" s="23">
        <f>IFERROR(__xludf.DUMMYFUNCTION("""COMPUTED_VALUE"""),0.5512799999999999)</f>
        <v>0.55128</v>
      </c>
      <c r="C1205" s="25">
        <f>IFERROR(__xludf.DUMMYFUNCTION("""COMPUTED_VALUE"""),0.4675)</f>
        <v>0.4675</v>
      </c>
      <c r="D1205" s="25">
        <f>IFERROR(__xludf.DUMMYFUNCTION("""COMPUTED_VALUE"""),0.6234999999999999)</f>
        <v>0.6235</v>
      </c>
      <c r="E1205" s="23">
        <f>IFERROR(__xludf.DUMMYFUNCTION("""COMPUTED_VALUE"""),0.40499499999999994)</f>
        <v>0.404995</v>
      </c>
      <c r="F1205" s="23">
        <f>IFERROR(__xludf.DUMMYFUNCTION("""COMPUTED_VALUE"""),0.3882227499999999)</f>
        <v>0.38822275</v>
      </c>
      <c r="G1205" s="23"/>
      <c r="H1205" s="23"/>
      <c r="J1205" s="26"/>
    </row>
    <row r="1206">
      <c r="A1206" s="24">
        <f>IFERROR(__xludf.DUMMYFUNCTION("""COMPUTED_VALUE"""),45766.0)</f>
        <v>45766</v>
      </c>
      <c r="B1206" s="23">
        <f>IFERROR(__xludf.DUMMYFUNCTION("""COMPUTED_VALUE"""),0.5512799999999999)</f>
        <v>0.55128</v>
      </c>
      <c r="C1206" s="25">
        <f>IFERROR(__xludf.DUMMYFUNCTION("""COMPUTED_VALUE"""),0.4675)</f>
        <v>0.4675</v>
      </c>
      <c r="D1206" s="25">
        <f>IFERROR(__xludf.DUMMYFUNCTION("""COMPUTED_VALUE"""),0.6234999999999999)</f>
        <v>0.6235</v>
      </c>
      <c r="E1206" s="23">
        <f>IFERROR(__xludf.DUMMYFUNCTION("""COMPUTED_VALUE"""),0.4067528571428571)</f>
        <v>0.4067528571</v>
      </c>
      <c r="F1206" s="23">
        <f>IFERROR(__xludf.DUMMYFUNCTION("""COMPUTED_VALUE"""),0.3908805535714285)</f>
        <v>0.3908805536</v>
      </c>
      <c r="G1206" s="23"/>
      <c r="H1206" s="23"/>
      <c r="J1206" s="26"/>
    </row>
    <row r="1207">
      <c r="A1207" s="24">
        <f>IFERROR(__xludf.DUMMYFUNCTION("""COMPUTED_VALUE"""),45767.0)</f>
        <v>45767</v>
      </c>
      <c r="B1207" s="23">
        <f>IFERROR(__xludf.DUMMYFUNCTION("""COMPUTED_VALUE"""),0.5512799999999999)</f>
        <v>0.55128</v>
      </c>
      <c r="C1207" s="25">
        <f>IFERROR(__xludf.DUMMYFUNCTION("""COMPUTED_VALUE"""),0.4675)</f>
        <v>0.4675</v>
      </c>
      <c r="D1207" s="25">
        <f>IFERROR(__xludf.DUMMYFUNCTION("""COMPUTED_VALUE"""),0.6234999999999999)</f>
        <v>0.6235</v>
      </c>
      <c r="E1207" s="23">
        <f>IFERROR(__xludf.DUMMYFUNCTION("""COMPUTED_VALUE"""),0.4085107142857142)</f>
        <v>0.4085107143</v>
      </c>
      <c r="F1207" s="23">
        <f>IFERROR(__xludf.DUMMYFUNCTION("""COMPUTED_VALUE"""),0.39353835714285706)</f>
        <v>0.3935383571</v>
      </c>
      <c r="G1207" s="23"/>
      <c r="H1207" s="23"/>
      <c r="J1207" s="26"/>
    </row>
    <row r="1208">
      <c r="A1208" s="24">
        <f>IFERROR(__xludf.DUMMYFUNCTION("""COMPUTED_VALUE"""),45768.0)</f>
        <v>45768</v>
      </c>
      <c r="B1208" s="23">
        <f>IFERROR(__xludf.DUMMYFUNCTION("""COMPUTED_VALUE"""),0.5512799999999999)</f>
        <v>0.55128</v>
      </c>
      <c r="C1208" s="25">
        <f>IFERROR(__xludf.DUMMYFUNCTION("""COMPUTED_VALUE"""),0.4675)</f>
        <v>0.4675</v>
      </c>
      <c r="D1208" s="25">
        <f>IFERROR(__xludf.DUMMYFUNCTION("""COMPUTED_VALUE"""),0.6234999999999999)</f>
        <v>0.6235</v>
      </c>
      <c r="E1208" s="23">
        <f>IFERROR(__xludf.DUMMYFUNCTION("""COMPUTED_VALUE"""),0.408205)</f>
        <v>0.408205</v>
      </c>
      <c r="F1208" s="23">
        <f>IFERROR(__xludf.DUMMYFUNCTION("""COMPUTED_VALUE"""),0.39510399642857136)</f>
        <v>0.3951039964</v>
      </c>
      <c r="G1208" s="23"/>
      <c r="H1208" s="23"/>
      <c r="J1208" s="26"/>
    </row>
    <row r="1209">
      <c r="A1209" s="24">
        <f>IFERROR(__xludf.DUMMYFUNCTION("""COMPUTED_VALUE"""),45769.0)</f>
        <v>45769</v>
      </c>
      <c r="B1209" s="23">
        <f>IFERROR(__xludf.DUMMYFUNCTION("""COMPUTED_VALUE"""),0.5512799999999999)</f>
        <v>0.55128</v>
      </c>
      <c r="C1209" s="25">
        <f>IFERROR(__xludf.DUMMYFUNCTION("""COMPUTED_VALUE"""),0.4675)</f>
        <v>0.4675</v>
      </c>
      <c r="D1209" s="25">
        <f>IFERROR(__xludf.DUMMYFUNCTION("""COMPUTED_VALUE"""),0.6234999999999999)</f>
        <v>0.6235</v>
      </c>
      <c r="E1209" s="23">
        <f>IFERROR(__xludf.DUMMYFUNCTION("""COMPUTED_VALUE"""),0.4073642857142857)</f>
        <v>0.4073642857</v>
      </c>
      <c r="F1209" s="23">
        <f>IFERROR(__xludf.DUMMYFUNCTION("""COMPUTED_VALUE"""),0.39429843928571423)</f>
        <v>0.3942984393</v>
      </c>
      <c r="G1209" s="23"/>
      <c r="H1209" s="23"/>
      <c r="J1209" s="26"/>
    </row>
    <row r="1210">
      <c r="A1210" s="24">
        <f>IFERROR(__xludf.DUMMYFUNCTION("""COMPUTED_VALUE"""),45770.0)</f>
        <v>45770</v>
      </c>
      <c r="B1210" s="23">
        <f>IFERROR(__xludf.DUMMYFUNCTION("""COMPUTED_VALUE"""),0.5512799999999999)</f>
        <v>0.55128</v>
      </c>
      <c r="C1210" s="25">
        <f>IFERROR(__xludf.DUMMYFUNCTION("""COMPUTED_VALUE"""),0.4675)</f>
        <v>0.4675</v>
      </c>
      <c r="D1210" s="25">
        <f>IFERROR(__xludf.DUMMYFUNCTION("""COMPUTED_VALUE"""),0.6234999999999999)</f>
        <v>0.6235</v>
      </c>
      <c r="E1210" s="23">
        <f>IFERROR(__xludf.DUMMYFUNCTION("""COMPUTED_VALUE"""),0.40377214285714286)</f>
        <v>0.4037721429</v>
      </c>
      <c r="F1210" s="23">
        <f>IFERROR(__xludf.DUMMYFUNCTION("""COMPUTED_VALUE"""),0.3926021071428571)</f>
        <v>0.3926021071</v>
      </c>
      <c r="G1210" s="23"/>
      <c r="H1210" s="23"/>
      <c r="J1210" s="26"/>
    </row>
    <row r="1211">
      <c r="A1211" s="24">
        <f>IFERROR(__xludf.DUMMYFUNCTION("""COMPUTED_VALUE"""),45771.0)</f>
        <v>45771</v>
      </c>
      <c r="B1211" s="23">
        <f>IFERROR(__xludf.DUMMYFUNCTION("""COMPUTED_VALUE"""),0.5512799999999999)</f>
        <v>0.55128</v>
      </c>
      <c r="C1211" s="25">
        <f>IFERROR(__xludf.DUMMYFUNCTION("""COMPUTED_VALUE"""),0.4675)</f>
        <v>0.4675</v>
      </c>
      <c r="D1211" s="25">
        <f>IFERROR(__xludf.DUMMYFUNCTION("""COMPUTED_VALUE"""),0.6234999999999999)</f>
        <v>0.6235</v>
      </c>
      <c r="E1211" s="23">
        <f>IFERROR(__xludf.DUMMYFUNCTION("""COMPUTED_VALUE"""),0.39880428571428567)</f>
        <v>0.3988042857</v>
      </c>
      <c r="F1211" s="23">
        <f>IFERROR(__xludf.DUMMYFUNCTION("""COMPUTED_VALUE"""),0.3899790785714286)</f>
        <v>0.3899790786</v>
      </c>
      <c r="G1211" s="23"/>
      <c r="H1211" s="23"/>
      <c r="J1211" s="26"/>
    </row>
    <row r="1212">
      <c r="A1212" s="24">
        <f>IFERROR(__xludf.DUMMYFUNCTION("""COMPUTED_VALUE"""),45772.0)</f>
        <v>45772</v>
      </c>
      <c r="B1212" s="23">
        <f>IFERROR(__xludf.DUMMYFUNCTION("""COMPUTED_VALUE"""),0.5512799999999999)</f>
        <v>0.55128</v>
      </c>
      <c r="C1212" s="25">
        <f>IFERROR(__xludf.DUMMYFUNCTION("""COMPUTED_VALUE"""),0.4675)</f>
        <v>0.4675</v>
      </c>
      <c r="D1212" s="25">
        <f>IFERROR(__xludf.DUMMYFUNCTION("""COMPUTED_VALUE"""),0.6234999999999999)</f>
        <v>0.6235</v>
      </c>
      <c r="E1212" s="23">
        <f>IFERROR(__xludf.DUMMYFUNCTION("""COMPUTED_VALUE"""),0.3907792857142857)</f>
        <v>0.3907792857</v>
      </c>
      <c r="F1212" s="23">
        <f>IFERROR(__xludf.DUMMYFUNCTION("""COMPUTED_VALUE"""),0.38553361071428566)</f>
        <v>0.3855336107</v>
      </c>
      <c r="G1212" s="23"/>
      <c r="H1212" s="23"/>
      <c r="J1212" s="26"/>
    </row>
    <row r="1213">
      <c r="A1213" s="24">
        <f>IFERROR(__xludf.DUMMYFUNCTION("""COMPUTED_VALUE"""),45773.0)</f>
        <v>45773</v>
      </c>
      <c r="B1213" s="23">
        <f>IFERROR(__xludf.DUMMYFUNCTION("""COMPUTED_VALUE"""),0.5512799999999999)</f>
        <v>0.55128</v>
      </c>
      <c r="C1213" s="25">
        <f>IFERROR(__xludf.DUMMYFUNCTION("""COMPUTED_VALUE"""),0.4675)</f>
        <v>0.4675</v>
      </c>
      <c r="D1213" s="25">
        <f>IFERROR(__xludf.DUMMYFUNCTION("""COMPUTED_VALUE"""),0.6234999999999999)</f>
        <v>0.6235</v>
      </c>
      <c r="E1213" s="23">
        <f>IFERROR(__xludf.DUMMYFUNCTION("""COMPUTED_VALUE"""),0.3864228571428572)</f>
        <v>0.3864228571</v>
      </c>
      <c r="F1213" s="23">
        <f>IFERROR(__xludf.DUMMYFUNCTION("""COMPUTED_VALUE"""),0.3810881428571428)</f>
        <v>0.3810881429</v>
      </c>
      <c r="G1213" s="23"/>
      <c r="H1213" s="23"/>
      <c r="J1213" s="26"/>
    </row>
    <row r="1214">
      <c r="A1214" s="24">
        <f>IFERROR(__xludf.DUMMYFUNCTION("""COMPUTED_VALUE"""),45774.0)</f>
        <v>45774</v>
      </c>
      <c r="B1214" s="23">
        <f>IFERROR(__xludf.DUMMYFUNCTION("""COMPUTED_VALUE"""),0.5512799999999999)</f>
        <v>0.55128</v>
      </c>
      <c r="C1214" s="25">
        <f>IFERROR(__xludf.DUMMYFUNCTION("""COMPUTED_VALUE"""),0.4675)</f>
        <v>0.4675</v>
      </c>
      <c r="D1214" s="25">
        <f>IFERROR(__xludf.DUMMYFUNCTION("""COMPUTED_VALUE"""),0.6234999999999999)</f>
        <v>0.6235</v>
      </c>
      <c r="E1214" s="23">
        <f>IFERROR(__xludf.DUMMYFUNCTION("""COMPUTED_VALUE"""),0.3820664285714286)</f>
        <v>0.3820664286</v>
      </c>
      <c r="F1214" s="23">
        <f>IFERROR(__xludf.DUMMYFUNCTION("""COMPUTED_VALUE"""),0.376642675)</f>
        <v>0.376642675</v>
      </c>
      <c r="G1214" s="23"/>
      <c r="H1214" s="23"/>
      <c r="J1214" s="26"/>
    </row>
    <row r="1215">
      <c r="A1215" s="24">
        <f>IFERROR(__xludf.DUMMYFUNCTION("""COMPUTED_VALUE"""),45775.0)</f>
        <v>45775</v>
      </c>
      <c r="B1215" s="23">
        <f>IFERROR(__xludf.DUMMYFUNCTION("""COMPUTED_VALUE"""),0.5512799999999999)</f>
        <v>0.55128</v>
      </c>
      <c r="C1215" s="25">
        <f>IFERROR(__xludf.DUMMYFUNCTION("""COMPUTED_VALUE"""),0.4675)</f>
        <v>0.4675</v>
      </c>
      <c r="D1215" s="25">
        <f>IFERROR(__xludf.DUMMYFUNCTION("""COMPUTED_VALUE"""),0.6234999999999999)</f>
        <v>0.6235</v>
      </c>
      <c r="E1215" s="23">
        <f>IFERROR(__xludf.DUMMYFUNCTION("""COMPUTED_VALUE"""),0.3787035714285714)</f>
        <v>0.3787035714</v>
      </c>
      <c r="F1215" s="23">
        <f>IFERROR(__xludf.DUMMYFUNCTION("""COMPUTED_VALUE"""),0.37222548571428576)</f>
        <v>0.3722254857</v>
      </c>
      <c r="G1215" s="23"/>
      <c r="H1215" s="23"/>
      <c r="J1215" s="26"/>
    </row>
    <row r="1216">
      <c r="A1216" s="24">
        <f>IFERROR(__xludf.DUMMYFUNCTION("""COMPUTED_VALUE"""),45776.0)</f>
        <v>45776</v>
      </c>
      <c r="B1216" s="23">
        <f>IFERROR(__xludf.DUMMYFUNCTION("""COMPUTED_VALUE"""),0.5512799999999999)</f>
        <v>0.55128</v>
      </c>
      <c r="C1216" s="25">
        <f>IFERROR(__xludf.DUMMYFUNCTION("""COMPUTED_VALUE"""),0.4675)</f>
        <v>0.4675</v>
      </c>
      <c r="D1216" s="25">
        <f>IFERROR(__xludf.DUMMYFUNCTION("""COMPUTED_VALUE"""),0.6234999999999999)</f>
        <v>0.6235</v>
      </c>
      <c r="E1216" s="23">
        <f>IFERROR(__xludf.DUMMYFUNCTION("""COMPUTED_VALUE"""),0.37106071428571424)</f>
        <v>0.3710607143</v>
      </c>
      <c r="F1216" s="23">
        <f>IFERROR(__xludf.DUMMYFUNCTION("""COMPUTED_VALUE"""),0.369495075)</f>
        <v>0.369495075</v>
      </c>
      <c r="G1216" s="23"/>
      <c r="H1216" s="23"/>
      <c r="J1216" s="26"/>
    </row>
    <row r="1217">
      <c r="A1217" s="24">
        <f>IFERROR(__xludf.DUMMYFUNCTION("""COMPUTED_VALUE"""),45777.0)</f>
        <v>45777</v>
      </c>
      <c r="B1217" s="23">
        <f>IFERROR(__xludf.DUMMYFUNCTION("""COMPUTED_VALUE"""),0.5512799999999999)</f>
        <v>0.55128</v>
      </c>
      <c r="C1217" s="25">
        <f>IFERROR(__xludf.DUMMYFUNCTION("""COMPUTED_VALUE"""),0.4675)</f>
        <v>0.4675</v>
      </c>
      <c r="D1217" s="25">
        <f>IFERROR(__xludf.DUMMYFUNCTION("""COMPUTED_VALUE"""),0.6234999999999999)</f>
        <v>0.6235</v>
      </c>
      <c r="E1217" s="23">
        <f>IFERROR(__xludf.DUMMYFUNCTION("""COMPUTED_VALUE"""),0.36555785714285716)</f>
        <v>0.3655578571</v>
      </c>
      <c r="F1217" s="23">
        <f>IFERROR(__xludf.DUMMYFUNCTION("""COMPUTED_VALUE"""),0.3680173285714285)</f>
        <v>0.3680173286</v>
      </c>
      <c r="G1217" s="23"/>
      <c r="H1217" s="23"/>
      <c r="J1217" s="26"/>
    </row>
    <row r="1218">
      <c r="A1218" s="24"/>
      <c r="B1218" s="23"/>
      <c r="C1218" s="25"/>
      <c r="D1218" s="25"/>
      <c r="E1218" s="23"/>
      <c r="F1218" s="23"/>
      <c r="G1218" s="23"/>
      <c r="H1218" s="23"/>
      <c r="J1218" s="26"/>
    </row>
    <row r="1219">
      <c r="A1219" s="24"/>
      <c r="B1219" s="23"/>
      <c r="C1219" s="25"/>
      <c r="D1219" s="25"/>
      <c r="E1219" s="23"/>
      <c r="F1219" s="23"/>
      <c r="G1219" s="23"/>
      <c r="H1219" s="23"/>
      <c r="J1219" s="26"/>
    </row>
    <row r="1220">
      <c r="A1220" s="24"/>
      <c r="B1220" s="23"/>
      <c r="C1220" s="25"/>
      <c r="D1220" s="25"/>
      <c r="E1220" s="23"/>
      <c r="F1220" s="23"/>
      <c r="G1220" s="23"/>
      <c r="H1220" s="23"/>
      <c r="J1220" s="26"/>
    </row>
    <row r="1221">
      <c r="A1221" s="24"/>
      <c r="B1221" s="23"/>
      <c r="C1221" s="25"/>
      <c r="D1221" s="25"/>
      <c r="E1221" s="23"/>
      <c r="F1221" s="23"/>
      <c r="G1221" s="23"/>
      <c r="H1221" s="23"/>
      <c r="J1221" s="26"/>
    </row>
    <row r="1222">
      <c r="A1222" s="24"/>
      <c r="B1222" s="23"/>
      <c r="C1222" s="25"/>
      <c r="D1222" s="25"/>
      <c r="E1222" s="23"/>
      <c r="F1222" s="23"/>
      <c r="G1222" s="23"/>
      <c r="H1222" s="23"/>
      <c r="J1222" s="26"/>
    </row>
    <row r="1223">
      <c r="A1223" s="24"/>
      <c r="B1223" s="23"/>
      <c r="C1223" s="25"/>
      <c r="D1223" s="25"/>
      <c r="E1223" s="23"/>
      <c r="F1223" s="23"/>
      <c r="G1223" s="23"/>
      <c r="H1223" s="23"/>
      <c r="J1223" s="26"/>
    </row>
    <row r="1224">
      <c r="A1224" s="24"/>
      <c r="B1224" s="23"/>
      <c r="C1224" s="25"/>
      <c r="D1224" s="25"/>
      <c r="E1224" s="23"/>
      <c r="F1224" s="23"/>
      <c r="G1224" s="23"/>
      <c r="H1224" s="23"/>
      <c r="J1224" s="26"/>
    </row>
    <row r="1225">
      <c r="A1225" s="24"/>
      <c r="B1225" s="23"/>
      <c r="C1225" s="25"/>
      <c r="D1225" s="25"/>
      <c r="E1225" s="23"/>
      <c r="F1225" s="23"/>
      <c r="G1225" s="23"/>
      <c r="H1225" s="23"/>
      <c r="J1225" s="26"/>
    </row>
    <row r="1226">
      <c r="A1226" s="24"/>
      <c r="B1226" s="23"/>
      <c r="C1226" s="25"/>
      <c r="D1226" s="25"/>
      <c r="E1226" s="23"/>
      <c r="F1226" s="23"/>
      <c r="G1226" s="23"/>
      <c r="H1226" s="23"/>
      <c r="J1226" s="26"/>
    </row>
    <row r="1227">
      <c r="A1227" s="24"/>
      <c r="B1227" s="23"/>
      <c r="C1227" s="25"/>
      <c r="D1227" s="25"/>
      <c r="E1227" s="23"/>
      <c r="F1227" s="23"/>
      <c r="G1227" s="23"/>
      <c r="H1227" s="23"/>
      <c r="J1227" s="26"/>
    </row>
    <row r="1228">
      <c r="A1228" s="24"/>
      <c r="B1228" s="23"/>
      <c r="C1228" s="25"/>
      <c r="D1228" s="25"/>
      <c r="E1228" s="23"/>
      <c r="F1228" s="23"/>
      <c r="G1228" s="23"/>
      <c r="H1228" s="23"/>
      <c r="J1228" s="26"/>
    </row>
    <row r="1229">
      <c r="A1229" s="24"/>
      <c r="B1229" s="23"/>
      <c r="C1229" s="25"/>
      <c r="D1229" s="25"/>
      <c r="E1229" s="23"/>
      <c r="F1229" s="23"/>
      <c r="G1229" s="23"/>
      <c r="H1229" s="23"/>
      <c r="J1229" s="26"/>
    </row>
    <row r="1230">
      <c r="A1230" s="24"/>
      <c r="B1230" s="23"/>
      <c r="C1230" s="25"/>
      <c r="D1230" s="25"/>
      <c r="E1230" s="23"/>
      <c r="F1230" s="23"/>
      <c r="G1230" s="23"/>
      <c r="H1230" s="23"/>
      <c r="J1230" s="26"/>
    </row>
    <row r="1231">
      <c r="A1231" s="24"/>
      <c r="B1231" s="23"/>
      <c r="C1231" s="25"/>
      <c r="D1231" s="25"/>
      <c r="E1231" s="23"/>
      <c r="F1231" s="23"/>
      <c r="G1231" s="23"/>
      <c r="H1231" s="23"/>
      <c r="J1231" s="26"/>
    </row>
    <row r="1232">
      <c r="A1232" s="24"/>
      <c r="B1232" s="23"/>
      <c r="C1232" s="25"/>
      <c r="D1232" s="25"/>
      <c r="E1232" s="23"/>
      <c r="F1232" s="23"/>
      <c r="G1232" s="23"/>
      <c r="H1232" s="23"/>
      <c r="J1232" s="26"/>
    </row>
    <row r="1233">
      <c r="A1233" s="24"/>
      <c r="B1233" s="23"/>
      <c r="C1233" s="25"/>
      <c r="D1233" s="25"/>
      <c r="E1233" s="23"/>
      <c r="F1233" s="23"/>
      <c r="G1233" s="23"/>
      <c r="H1233" s="23"/>
      <c r="J1233" s="26"/>
    </row>
    <row r="1234">
      <c r="A1234" s="24"/>
      <c r="B1234" s="23"/>
      <c r="C1234" s="25"/>
      <c r="D1234" s="25"/>
      <c r="E1234" s="23"/>
      <c r="F1234" s="23"/>
      <c r="G1234" s="23"/>
      <c r="H1234" s="23"/>
      <c r="J1234" s="26"/>
    </row>
    <row r="1235">
      <c r="A1235" s="24"/>
      <c r="B1235" s="23"/>
      <c r="C1235" s="25"/>
      <c r="D1235" s="25"/>
      <c r="E1235" s="23"/>
      <c r="F1235" s="23"/>
      <c r="G1235" s="23"/>
      <c r="H1235" s="23"/>
      <c r="J1235" s="26"/>
    </row>
    <row r="1236">
      <c r="A1236" s="24"/>
      <c r="B1236" s="23"/>
      <c r="C1236" s="25"/>
      <c r="D1236" s="25"/>
      <c r="E1236" s="23"/>
      <c r="F1236" s="23"/>
      <c r="G1236" s="23"/>
      <c r="H1236" s="23"/>
      <c r="J1236" s="26"/>
    </row>
    <row r="1237">
      <c r="A1237" s="24"/>
      <c r="B1237" s="23"/>
      <c r="C1237" s="25"/>
      <c r="D1237" s="25"/>
      <c r="E1237" s="23"/>
      <c r="F1237" s="23"/>
      <c r="G1237" s="23"/>
      <c r="H1237" s="23"/>
      <c r="J1237" s="26"/>
    </row>
    <row r="1238">
      <c r="A1238" s="24"/>
      <c r="B1238" s="23"/>
      <c r="C1238" s="25"/>
      <c r="D1238" s="25"/>
      <c r="E1238" s="23"/>
      <c r="F1238" s="23"/>
      <c r="G1238" s="23"/>
      <c r="H1238" s="23"/>
      <c r="J1238" s="26"/>
    </row>
    <row r="1239">
      <c r="A1239" s="24"/>
      <c r="B1239" s="23"/>
      <c r="C1239" s="25"/>
      <c r="D1239" s="25"/>
      <c r="E1239" s="23"/>
      <c r="F1239" s="23"/>
      <c r="G1239" s="23"/>
      <c r="H1239" s="23"/>
      <c r="J1239" s="26"/>
    </row>
    <row r="1240">
      <c r="A1240" s="24"/>
      <c r="B1240" s="23"/>
      <c r="C1240" s="25"/>
      <c r="D1240" s="25"/>
      <c r="E1240" s="23"/>
      <c r="F1240" s="23"/>
      <c r="G1240" s="23"/>
      <c r="H1240" s="23"/>
      <c r="J1240" s="26"/>
    </row>
    <row r="1241">
      <c r="A1241" s="24"/>
      <c r="B1241" s="23"/>
      <c r="C1241" s="25"/>
      <c r="D1241" s="25"/>
      <c r="E1241" s="23"/>
      <c r="F1241" s="23"/>
      <c r="G1241" s="23"/>
      <c r="H1241" s="23"/>
      <c r="J1241" s="26"/>
    </row>
    <row r="1242">
      <c r="A1242" s="24"/>
      <c r="B1242" s="23"/>
      <c r="C1242" s="25"/>
      <c r="D1242" s="25"/>
      <c r="E1242" s="23"/>
      <c r="F1242" s="23"/>
      <c r="G1242" s="23"/>
      <c r="H1242" s="23"/>
      <c r="J1242" s="26"/>
    </row>
    <row r="1243">
      <c r="A1243" s="24"/>
      <c r="B1243" s="23"/>
      <c r="C1243" s="25"/>
      <c r="D1243" s="25"/>
      <c r="E1243" s="23"/>
      <c r="F1243" s="23"/>
      <c r="G1243" s="23"/>
      <c r="H1243" s="23"/>
      <c r="J1243" s="26"/>
    </row>
    <row r="1244">
      <c r="A1244" s="24"/>
      <c r="B1244" s="23"/>
      <c r="C1244" s="25"/>
      <c r="D1244" s="25"/>
      <c r="E1244" s="23"/>
      <c r="F1244" s="23"/>
      <c r="G1244" s="23"/>
      <c r="H1244" s="23"/>
      <c r="J1244" s="26"/>
    </row>
    <row r="1245">
      <c r="A1245" s="24"/>
      <c r="B1245" s="23"/>
      <c r="C1245" s="25"/>
      <c r="D1245" s="25"/>
      <c r="E1245" s="23"/>
      <c r="F1245" s="23"/>
      <c r="G1245" s="23"/>
      <c r="H1245" s="23"/>
      <c r="J1245" s="26"/>
    </row>
    <row r="1246">
      <c r="A1246" s="24"/>
      <c r="B1246" s="23"/>
      <c r="C1246" s="25"/>
      <c r="D1246" s="25"/>
      <c r="E1246" s="23"/>
      <c r="F1246" s="23"/>
      <c r="G1246" s="23"/>
      <c r="H1246" s="23"/>
      <c r="J1246" s="26"/>
    </row>
    <row r="1247">
      <c r="A1247" s="24"/>
      <c r="B1247" s="23"/>
      <c r="C1247" s="25"/>
      <c r="D1247" s="25"/>
      <c r="E1247" s="23"/>
      <c r="F1247" s="23"/>
      <c r="G1247" s="23"/>
      <c r="H1247" s="23"/>
      <c r="J1247" s="26"/>
    </row>
    <row r="1248">
      <c r="A1248" s="24"/>
      <c r="B1248" s="23"/>
      <c r="C1248" s="25"/>
      <c r="D1248" s="25"/>
      <c r="E1248" s="23"/>
      <c r="F1248" s="23"/>
      <c r="G1248" s="23"/>
      <c r="H1248" s="23"/>
      <c r="J1248" s="26"/>
    </row>
    <row r="1249">
      <c r="A1249" s="24"/>
      <c r="B1249" s="23"/>
      <c r="C1249" s="25"/>
      <c r="D1249" s="25"/>
      <c r="E1249" s="23"/>
      <c r="F1249" s="23"/>
      <c r="G1249" s="23"/>
      <c r="H1249" s="23"/>
      <c r="J1249" s="26"/>
    </row>
    <row r="1250">
      <c r="A1250" s="24"/>
      <c r="B1250" s="23"/>
      <c r="C1250" s="25"/>
      <c r="D1250" s="25"/>
      <c r="E1250" s="23"/>
      <c r="F1250" s="23"/>
      <c r="G1250" s="23"/>
      <c r="H1250" s="23"/>
      <c r="J1250" s="26"/>
    </row>
    <row r="1251">
      <c r="A1251" s="24"/>
      <c r="B1251" s="23"/>
      <c r="C1251" s="25"/>
      <c r="D1251" s="25"/>
      <c r="E1251" s="23"/>
      <c r="F1251" s="23"/>
      <c r="G1251" s="23"/>
      <c r="H1251" s="23"/>
      <c r="J1251" s="26"/>
    </row>
    <row r="1252">
      <c r="A1252" s="24"/>
      <c r="B1252" s="23"/>
      <c r="C1252" s="25"/>
      <c r="D1252" s="25"/>
      <c r="E1252" s="23"/>
      <c r="F1252" s="23"/>
      <c r="G1252" s="23"/>
      <c r="H1252" s="23"/>
      <c r="J1252" s="26"/>
    </row>
    <row r="1253">
      <c r="A1253" s="24"/>
      <c r="B1253" s="23"/>
      <c r="C1253" s="25"/>
      <c r="D1253" s="25"/>
      <c r="E1253" s="23"/>
      <c r="F1253" s="23"/>
      <c r="G1253" s="23"/>
      <c r="H1253" s="23"/>
      <c r="J1253" s="26"/>
    </row>
    <row r="1254">
      <c r="A1254" s="24"/>
      <c r="B1254" s="23"/>
      <c r="C1254" s="25"/>
      <c r="D1254" s="25"/>
      <c r="E1254" s="23"/>
      <c r="F1254" s="23"/>
      <c r="G1254" s="23"/>
      <c r="H1254" s="23"/>
      <c r="J1254" s="26"/>
    </row>
    <row r="1255">
      <c r="A1255" s="24"/>
      <c r="B1255" s="23"/>
      <c r="C1255" s="25"/>
      <c r="D1255" s="25"/>
      <c r="E1255" s="23"/>
      <c r="F1255" s="23"/>
      <c r="G1255" s="23"/>
      <c r="H1255" s="23"/>
      <c r="J1255" s="26"/>
    </row>
    <row r="1256">
      <c r="A1256" s="24"/>
      <c r="B1256" s="23"/>
      <c r="C1256" s="25"/>
      <c r="D1256" s="25"/>
      <c r="E1256" s="23"/>
      <c r="F1256" s="23"/>
      <c r="G1256" s="23"/>
      <c r="H1256" s="23"/>
      <c r="J1256" s="26"/>
    </row>
    <row r="1257">
      <c r="A1257" s="24"/>
      <c r="B1257" s="23"/>
      <c r="C1257" s="25"/>
      <c r="D1257" s="25"/>
      <c r="E1257" s="23"/>
      <c r="F1257" s="23"/>
      <c r="G1257" s="23"/>
      <c r="H1257" s="23"/>
      <c r="J1257" s="26"/>
    </row>
    <row r="1258">
      <c r="A1258" s="24"/>
      <c r="B1258" s="23"/>
      <c r="C1258" s="25"/>
      <c r="D1258" s="25"/>
      <c r="E1258" s="23"/>
      <c r="F1258" s="23"/>
      <c r="G1258" s="23"/>
      <c r="H1258" s="23"/>
      <c r="J1258" s="26"/>
    </row>
    <row r="1259">
      <c r="A1259" s="24"/>
      <c r="B1259" s="23"/>
      <c r="C1259" s="25"/>
      <c r="D1259" s="25"/>
      <c r="E1259" s="23"/>
      <c r="F1259" s="23"/>
      <c r="G1259" s="23"/>
      <c r="H1259" s="23"/>
      <c r="J1259" s="26"/>
    </row>
    <row r="1260">
      <c r="A1260" s="24"/>
      <c r="B1260" s="23"/>
      <c r="C1260" s="25"/>
      <c r="D1260" s="25"/>
      <c r="E1260" s="23"/>
      <c r="F1260" s="23"/>
      <c r="G1260" s="23"/>
      <c r="H1260" s="23"/>
      <c r="J1260" s="26"/>
    </row>
    <row r="1261">
      <c r="A1261" s="24"/>
      <c r="B1261" s="23"/>
      <c r="C1261" s="25"/>
      <c r="D1261" s="25"/>
      <c r="E1261" s="23"/>
      <c r="F1261" s="23"/>
      <c r="G1261" s="23"/>
      <c r="H1261" s="23"/>
      <c r="J1261" s="26"/>
    </row>
    <row r="1262">
      <c r="A1262" s="24"/>
      <c r="B1262" s="23"/>
      <c r="C1262" s="25"/>
      <c r="D1262" s="25"/>
      <c r="E1262" s="23"/>
      <c r="F1262" s="23"/>
      <c r="G1262" s="23"/>
      <c r="H1262" s="23"/>
      <c r="J1262" s="26"/>
    </row>
    <row r="1263">
      <c r="A1263" s="24"/>
      <c r="B1263" s="23"/>
      <c r="C1263" s="25"/>
      <c r="D1263" s="25"/>
      <c r="E1263" s="23"/>
      <c r="F1263" s="23"/>
      <c r="G1263" s="23"/>
      <c r="H1263" s="23"/>
      <c r="J1263" s="26"/>
    </row>
    <row r="1264">
      <c r="A1264" s="24"/>
      <c r="B1264" s="23"/>
      <c r="C1264" s="25"/>
      <c r="D1264" s="25"/>
      <c r="E1264" s="23"/>
      <c r="F1264" s="23"/>
      <c r="G1264" s="23"/>
      <c r="H1264" s="23"/>
      <c r="J1264" s="26"/>
    </row>
    <row r="1265">
      <c r="A1265" s="24"/>
      <c r="B1265" s="23"/>
      <c r="C1265" s="25"/>
      <c r="D1265" s="25"/>
      <c r="E1265" s="23"/>
      <c r="F1265" s="23"/>
      <c r="G1265" s="23"/>
      <c r="H1265" s="23"/>
      <c r="J1265" s="26"/>
    </row>
    <row r="1266">
      <c r="A1266" s="24"/>
      <c r="B1266" s="23"/>
      <c r="C1266" s="25"/>
      <c r="D1266" s="25"/>
      <c r="E1266" s="23"/>
      <c r="F1266" s="23"/>
      <c r="G1266" s="23"/>
      <c r="H1266" s="23"/>
      <c r="J1266" s="26"/>
    </row>
    <row r="1267">
      <c r="A1267" s="24"/>
      <c r="B1267" s="23"/>
      <c r="C1267" s="25"/>
      <c r="D1267" s="25"/>
      <c r="E1267" s="23"/>
      <c r="F1267" s="23"/>
      <c r="G1267" s="23"/>
      <c r="H1267" s="23"/>
      <c r="J1267" s="26"/>
    </row>
    <row r="1268">
      <c r="A1268" s="24"/>
      <c r="B1268" s="23"/>
      <c r="C1268" s="25"/>
      <c r="D1268" s="25"/>
      <c r="E1268" s="23"/>
      <c r="F1268" s="23"/>
      <c r="G1268" s="23"/>
      <c r="H1268" s="23"/>
      <c r="J1268" s="26"/>
    </row>
    <row r="1269">
      <c r="A1269" s="24"/>
      <c r="B1269" s="23"/>
      <c r="C1269" s="25"/>
      <c r="D1269" s="25"/>
      <c r="E1269" s="23"/>
      <c r="F1269" s="23"/>
      <c r="G1269" s="23"/>
      <c r="H1269" s="23"/>
      <c r="J1269" s="26"/>
    </row>
    <row r="1270">
      <c r="A1270" s="24"/>
      <c r="B1270" s="23"/>
      <c r="C1270" s="25"/>
      <c r="D1270" s="25"/>
      <c r="E1270" s="23"/>
      <c r="F1270" s="23"/>
      <c r="G1270" s="23"/>
      <c r="H1270" s="23"/>
      <c r="J1270" s="26"/>
    </row>
    <row r="1271">
      <c r="A1271" s="24"/>
      <c r="B1271" s="23"/>
      <c r="C1271" s="25"/>
      <c r="D1271" s="25"/>
      <c r="E1271" s="23"/>
      <c r="F1271" s="23"/>
      <c r="G1271" s="23"/>
      <c r="H1271" s="23"/>
      <c r="J1271" s="26"/>
    </row>
    <row r="1272">
      <c r="A1272" s="24"/>
      <c r="B1272" s="23"/>
      <c r="C1272" s="25"/>
      <c r="D1272" s="25"/>
      <c r="E1272" s="23"/>
      <c r="F1272" s="23"/>
      <c r="G1272" s="23"/>
      <c r="H1272" s="23"/>
      <c r="J1272" s="26"/>
    </row>
    <row r="1273">
      <c r="A1273" s="24"/>
      <c r="B1273" s="23"/>
      <c r="C1273" s="25"/>
      <c r="D1273" s="25"/>
      <c r="E1273" s="23"/>
      <c r="F1273" s="23"/>
      <c r="G1273" s="23"/>
      <c r="H1273" s="23"/>
      <c r="J1273" s="26"/>
    </row>
    <row r="1274">
      <c r="A1274" s="24"/>
      <c r="B1274" s="23"/>
      <c r="C1274" s="25"/>
      <c r="D1274" s="25"/>
      <c r="E1274" s="23"/>
      <c r="F1274" s="23"/>
      <c r="G1274" s="23"/>
      <c r="H1274" s="23"/>
      <c r="J1274" s="26"/>
    </row>
    <row r="1275">
      <c r="A1275" s="24"/>
      <c r="B1275" s="23"/>
      <c r="C1275" s="25"/>
      <c r="D1275" s="25"/>
      <c r="E1275" s="23"/>
      <c r="F1275" s="23"/>
      <c r="G1275" s="23"/>
      <c r="H1275" s="23"/>
      <c r="J1275" s="26"/>
    </row>
    <row r="1276">
      <c r="A1276" s="24"/>
      <c r="B1276" s="23"/>
      <c r="C1276" s="25"/>
      <c r="D1276" s="25"/>
      <c r="E1276" s="23"/>
      <c r="F1276" s="23"/>
      <c r="G1276" s="23"/>
      <c r="H1276" s="23"/>
      <c r="J1276" s="26"/>
    </row>
    <row r="1277">
      <c r="A1277" s="24"/>
      <c r="B1277" s="23"/>
      <c r="C1277" s="25"/>
      <c r="D1277" s="25"/>
      <c r="E1277" s="23"/>
      <c r="F1277" s="23"/>
      <c r="G1277" s="23"/>
      <c r="H1277" s="23"/>
      <c r="J1277" s="26"/>
    </row>
    <row r="1278">
      <c r="A1278" s="24"/>
      <c r="B1278" s="23"/>
      <c r="C1278" s="25"/>
      <c r="D1278" s="25"/>
      <c r="E1278" s="23"/>
      <c r="F1278" s="23"/>
      <c r="G1278" s="23"/>
      <c r="H1278" s="23"/>
      <c r="J1278" s="26"/>
    </row>
    <row r="1279">
      <c r="A1279" s="24"/>
      <c r="B1279" s="23"/>
      <c r="C1279" s="25"/>
      <c r="D1279" s="25"/>
      <c r="E1279" s="23"/>
      <c r="F1279" s="23"/>
      <c r="G1279" s="23"/>
      <c r="H1279" s="23"/>
      <c r="J1279" s="26"/>
    </row>
    <row r="1280">
      <c r="A1280" s="24"/>
      <c r="B1280" s="23"/>
      <c r="C1280" s="25"/>
      <c r="D1280" s="25"/>
      <c r="E1280" s="23"/>
      <c r="F1280" s="23"/>
      <c r="G1280" s="23"/>
      <c r="H1280" s="23"/>
      <c r="J1280" s="26"/>
    </row>
    <row r="1281">
      <c r="A1281" s="24"/>
      <c r="B1281" s="23"/>
      <c r="C1281" s="25"/>
      <c r="D1281" s="25"/>
      <c r="E1281" s="23"/>
      <c r="F1281" s="23"/>
      <c r="G1281" s="23"/>
      <c r="H1281" s="23"/>
      <c r="J1281" s="26"/>
    </row>
    <row r="1282">
      <c r="A1282" s="24"/>
      <c r="B1282" s="23"/>
      <c r="C1282" s="25"/>
      <c r="D1282" s="25"/>
      <c r="E1282" s="23"/>
      <c r="F1282" s="23"/>
      <c r="G1282" s="23"/>
      <c r="H1282" s="23"/>
      <c r="J1282" s="26"/>
    </row>
    <row r="1283">
      <c r="A1283" s="24"/>
      <c r="B1283" s="23"/>
      <c r="C1283" s="25"/>
      <c r="D1283" s="25"/>
      <c r="E1283" s="23"/>
      <c r="F1283" s="23"/>
      <c r="G1283" s="23"/>
      <c r="H1283" s="23"/>
      <c r="J1283" s="26"/>
    </row>
    <row r="1284">
      <c r="A1284" s="24"/>
      <c r="B1284" s="23"/>
      <c r="C1284" s="25"/>
      <c r="D1284" s="25"/>
      <c r="E1284" s="23"/>
      <c r="F1284" s="23"/>
      <c r="G1284" s="23"/>
      <c r="H1284" s="23"/>
      <c r="J1284" s="26"/>
    </row>
    <row r="1285">
      <c r="A1285" s="24"/>
      <c r="B1285" s="23"/>
      <c r="C1285" s="25"/>
      <c r="D1285" s="25"/>
      <c r="E1285" s="23"/>
      <c r="F1285" s="23"/>
      <c r="G1285" s="23"/>
      <c r="H1285" s="23"/>
      <c r="J1285" s="26"/>
    </row>
    <row r="1286">
      <c r="A1286" s="24"/>
      <c r="B1286" s="23"/>
      <c r="C1286" s="25"/>
      <c r="D1286" s="25"/>
      <c r="E1286" s="23"/>
      <c r="F1286" s="23"/>
      <c r="G1286" s="23"/>
      <c r="H1286" s="23"/>
      <c r="J1286" s="26"/>
    </row>
    <row r="1287">
      <c r="A1287" s="24"/>
      <c r="B1287" s="23"/>
      <c r="C1287" s="25"/>
      <c r="D1287" s="25"/>
      <c r="E1287" s="23"/>
      <c r="F1287" s="23"/>
      <c r="G1287" s="23"/>
      <c r="H1287" s="23"/>
      <c r="J1287" s="26"/>
    </row>
    <row r="1288">
      <c r="A1288" s="24"/>
      <c r="B1288" s="23"/>
      <c r="C1288" s="25"/>
      <c r="D1288" s="25"/>
      <c r="E1288" s="23"/>
      <c r="F1288" s="23"/>
      <c r="G1288" s="23"/>
      <c r="H1288" s="23"/>
      <c r="J1288" s="26"/>
    </row>
    <row r="1289">
      <c r="A1289" s="24"/>
      <c r="B1289" s="23"/>
      <c r="C1289" s="25"/>
      <c r="D1289" s="25"/>
      <c r="E1289" s="23"/>
      <c r="F1289" s="23"/>
      <c r="G1289" s="23"/>
      <c r="H1289" s="23"/>
      <c r="J1289" s="26"/>
    </row>
    <row r="1290">
      <c r="A1290" s="24"/>
      <c r="B1290" s="23"/>
      <c r="C1290" s="25"/>
      <c r="D1290" s="25"/>
      <c r="E1290" s="23"/>
      <c r="F1290" s="23"/>
      <c r="G1290" s="23"/>
      <c r="H1290" s="23"/>
      <c r="J1290" s="26"/>
    </row>
    <row r="1291">
      <c r="A1291" s="24"/>
      <c r="B1291" s="23"/>
      <c r="C1291" s="25"/>
      <c r="D1291" s="25"/>
      <c r="E1291" s="23"/>
      <c r="F1291" s="23"/>
      <c r="G1291" s="23"/>
      <c r="H1291" s="23"/>
      <c r="J1291" s="26"/>
    </row>
    <row r="1292">
      <c r="A1292" s="24"/>
      <c r="B1292" s="23"/>
      <c r="C1292" s="25"/>
      <c r="D1292" s="25"/>
      <c r="E1292" s="23"/>
      <c r="F1292" s="23"/>
      <c r="G1292" s="23"/>
      <c r="H1292" s="23"/>
      <c r="J1292" s="26"/>
    </row>
    <row r="1293">
      <c r="A1293" s="24"/>
      <c r="B1293" s="23"/>
      <c r="C1293" s="25"/>
      <c r="D1293" s="25"/>
      <c r="E1293" s="23"/>
      <c r="F1293" s="23"/>
      <c r="G1293" s="23"/>
      <c r="H1293" s="23"/>
      <c r="J1293" s="26"/>
    </row>
    <row r="1294">
      <c r="A1294" s="24"/>
      <c r="B1294" s="23"/>
      <c r="C1294" s="25"/>
      <c r="D1294" s="25"/>
      <c r="E1294" s="23"/>
      <c r="F1294" s="23"/>
      <c r="G1294" s="23"/>
      <c r="H1294" s="23"/>
      <c r="J1294" s="26"/>
    </row>
    <row r="1295">
      <c r="A1295" s="24"/>
      <c r="B1295" s="23"/>
      <c r="C1295" s="25"/>
      <c r="D1295" s="25"/>
      <c r="E1295" s="23"/>
      <c r="F1295" s="23"/>
      <c r="G1295" s="23"/>
      <c r="H1295" s="23"/>
      <c r="J1295" s="26"/>
    </row>
    <row r="1296">
      <c r="A1296" s="24"/>
      <c r="B1296" s="23"/>
      <c r="C1296" s="25"/>
      <c r="D1296" s="25"/>
      <c r="E1296" s="23"/>
      <c r="F1296" s="23"/>
      <c r="G1296" s="23"/>
      <c r="H1296" s="23"/>
      <c r="J1296" s="26"/>
    </row>
    <row r="1297">
      <c r="A1297" s="24"/>
      <c r="B1297" s="23"/>
      <c r="C1297" s="25"/>
      <c r="D1297" s="25"/>
      <c r="E1297" s="23"/>
      <c r="F1297" s="23"/>
      <c r="G1297" s="23"/>
      <c r="H1297" s="23"/>
      <c r="J1297" s="26"/>
    </row>
    <row r="1298">
      <c r="A1298" s="24"/>
      <c r="B1298" s="23"/>
      <c r="C1298" s="25"/>
      <c r="D1298" s="25"/>
      <c r="E1298" s="23"/>
      <c r="F1298" s="23"/>
      <c r="G1298" s="23"/>
      <c r="H1298" s="23"/>
      <c r="J1298" s="26"/>
    </row>
    <row r="1299">
      <c r="A1299" s="24"/>
      <c r="B1299" s="23"/>
      <c r="C1299" s="25"/>
      <c r="D1299" s="25"/>
      <c r="E1299" s="23"/>
      <c r="F1299" s="23"/>
      <c r="G1299" s="23"/>
      <c r="H1299" s="23"/>
      <c r="J1299" s="26"/>
    </row>
    <row r="1300">
      <c r="A1300" s="24"/>
      <c r="B1300" s="23"/>
      <c r="C1300" s="25"/>
      <c r="D1300" s="25"/>
      <c r="E1300" s="23"/>
      <c r="F1300" s="23"/>
      <c r="G1300" s="23"/>
      <c r="H1300" s="23"/>
      <c r="J1300" s="26"/>
    </row>
    <row r="1301">
      <c r="A1301" s="24"/>
      <c r="B1301" s="23"/>
      <c r="C1301" s="25"/>
      <c r="D1301" s="25"/>
      <c r="E1301" s="23"/>
      <c r="F1301" s="23"/>
      <c r="G1301" s="23"/>
      <c r="H1301" s="23"/>
      <c r="J1301" s="26"/>
    </row>
    <row r="1302">
      <c r="A1302" s="24"/>
      <c r="B1302" s="23"/>
      <c r="C1302" s="25"/>
      <c r="D1302" s="25"/>
      <c r="E1302" s="23"/>
      <c r="F1302" s="23"/>
      <c r="G1302" s="23"/>
      <c r="H1302" s="23"/>
      <c r="J1302" s="26"/>
    </row>
    <row r="1303">
      <c r="A1303" s="24"/>
      <c r="B1303" s="23"/>
      <c r="C1303" s="25"/>
      <c r="D1303" s="25"/>
      <c r="E1303" s="23"/>
      <c r="F1303" s="23"/>
      <c r="G1303" s="23"/>
      <c r="H1303" s="23"/>
      <c r="J1303" s="26"/>
    </row>
    <row r="1304">
      <c r="A1304" s="24"/>
      <c r="B1304" s="23"/>
      <c r="C1304" s="25"/>
      <c r="D1304" s="25"/>
      <c r="E1304" s="23"/>
      <c r="F1304" s="23"/>
      <c r="G1304" s="23"/>
      <c r="H1304" s="23"/>
      <c r="J1304" s="26"/>
    </row>
    <row r="1305">
      <c r="A1305" s="24"/>
      <c r="B1305" s="23"/>
      <c r="C1305" s="25"/>
      <c r="D1305" s="25"/>
      <c r="E1305" s="23"/>
      <c r="F1305" s="23"/>
      <c r="G1305" s="23"/>
      <c r="H1305" s="23"/>
      <c r="J1305" s="26"/>
    </row>
    <row r="1306">
      <c r="A1306" s="24"/>
      <c r="B1306" s="23"/>
      <c r="C1306" s="25"/>
      <c r="D1306" s="25"/>
      <c r="E1306" s="23"/>
      <c r="F1306" s="23"/>
      <c r="G1306" s="23"/>
      <c r="H1306" s="23"/>
      <c r="J1306" s="26"/>
    </row>
    <row r="1307">
      <c r="A1307" s="24"/>
      <c r="B1307" s="23"/>
      <c r="C1307" s="25"/>
      <c r="D1307" s="25"/>
      <c r="E1307" s="23"/>
      <c r="F1307" s="23"/>
      <c r="G1307" s="23"/>
      <c r="H1307" s="23"/>
      <c r="J1307" s="26"/>
    </row>
    <row r="1308">
      <c r="A1308" s="24"/>
      <c r="B1308" s="23"/>
      <c r="C1308" s="25"/>
      <c r="D1308" s="25"/>
      <c r="E1308" s="23"/>
      <c r="F1308" s="23"/>
      <c r="G1308" s="23"/>
      <c r="H1308" s="23"/>
      <c r="J1308" s="26"/>
    </row>
    <row r="1309">
      <c r="A1309" s="24"/>
      <c r="B1309" s="23"/>
      <c r="C1309" s="25"/>
      <c r="D1309" s="25"/>
      <c r="E1309" s="23"/>
      <c r="F1309" s="23"/>
      <c r="G1309" s="23"/>
      <c r="H1309" s="23"/>
      <c r="J1309" s="26"/>
    </row>
    <row r="1310">
      <c r="A1310" s="24"/>
      <c r="B1310" s="23"/>
      <c r="C1310" s="25"/>
      <c r="D1310" s="25"/>
      <c r="E1310" s="23"/>
      <c r="F1310" s="23"/>
      <c r="G1310" s="23"/>
      <c r="H1310" s="23"/>
      <c r="J1310" s="26"/>
    </row>
    <row r="1311">
      <c r="A1311" s="24"/>
      <c r="B1311" s="23"/>
      <c r="C1311" s="25"/>
      <c r="D1311" s="25"/>
      <c r="E1311" s="23"/>
      <c r="F1311" s="23"/>
      <c r="G1311" s="23"/>
      <c r="H1311" s="23"/>
      <c r="J1311" s="26"/>
    </row>
    <row r="1312">
      <c r="A1312" s="24"/>
      <c r="B1312" s="23"/>
      <c r="C1312" s="25"/>
      <c r="D1312" s="25"/>
      <c r="E1312" s="23"/>
      <c r="F1312" s="23"/>
      <c r="G1312" s="23"/>
      <c r="H1312" s="23"/>
      <c r="J1312" s="26"/>
    </row>
    <row r="1313">
      <c r="A1313" s="24"/>
      <c r="B1313" s="23"/>
      <c r="C1313" s="25"/>
      <c r="D1313" s="25"/>
      <c r="E1313" s="23"/>
      <c r="F1313" s="23"/>
      <c r="G1313" s="23"/>
      <c r="H1313" s="23"/>
      <c r="J1313" s="26"/>
    </row>
    <row r="1314">
      <c r="A1314" s="24"/>
      <c r="B1314" s="23"/>
      <c r="C1314" s="25"/>
      <c r="D1314" s="25"/>
      <c r="E1314" s="23"/>
      <c r="F1314" s="23"/>
      <c r="G1314" s="23"/>
      <c r="H1314" s="23"/>
      <c r="J1314" s="26"/>
    </row>
    <row r="1315">
      <c r="A1315" s="24"/>
      <c r="B1315" s="23"/>
      <c r="C1315" s="25"/>
      <c r="D1315" s="25"/>
      <c r="E1315" s="23"/>
      <c r="F1315" s="23"/>
      <c r="G1315" s="23"/>
      <c r="H1315" s="23"/>
      <c r="J1315" s="26"/>
    </row>
    <row r="1316">
      <c r="A1316" s="24"/>
      <c r="B1316" s="23"/>
      <c r="C1316" s="25"/>
      <c r="D1316" s="25"/>
      <c r="E1316" s="23"/>
      <c r="F1316" s="23"/>
      <c r="G1316" s="23"/>
      <c r="H1316" s="23"/>
      <c r="J1316" s="26"/>
    </row>
    <row r="1317">
      <c r="A1317" s="24"/>
      <c r="B1317" s="23"/>
      <c r="C1317" s="25"/>
      <c r="D1317" s="25"/>
      <c r="E1317" s="23"/>
      <c r="F1317" s="23"/>
      <c r="G1317" s="23"/>
      <c r="H1317" s="23"/>
      <c r="J1317" s="26"/>
    </row>
    <row r="1318">
      <c r="A1318" s="24"/>
      <c r="B1318" s="23"/>
      <c r="C1318" s="25"/>
      <c r="D1318" s="25"/>
      <c r="E1318" s="23"/>
      <c r="F1318" s="23"/>
      <c r="G1318" s="23"/>
      <c r="H1318" s="23"/>
      <c r="J1318" s="26"/>
    </row>
    <row r="1319">
      <c r="A1319" s="24"/>
      <c r="B1319" s="23"/>
      <c r="C1319" s="25"/>
      <c r="D1319" s="25"/>
      <c r="E1319" s="23"/>
      <c r="F1319" s="23"/>
      <c r="G1319" s="23"/>
      <c r="H1319" s="23"/>
      <c r="J1319" s="26"/>
    </row>
    <row r="1320">
      <c r="A1320" s="24"/>
      <c r="B1320" s="23"/>
      <c r="C1320" s="25"/>
      <c r="D1320" s="25"/>
      <c r="E1320" s="23"/>
      <c r="F1320" s="23"/>
      <c r="G1320" s="23"/>
      <c r="H1320" s="23"/>
      <c r="J1320" s="26"/>
    </row>
    <row r="1321">
      <c r="A1321" s="24"/>
      <c r="B1321" s="23"/>
      <c r="C1321" s="25"/>
      <c r="D1321" s="25"/>
      <c r="E1321" s="23"/>
      <c r="F1321" s="23"/>
      <c r="G1321" s="23"/>
      <c r="H1321" s="23"/>
      <c r="J1321" s="26"/>
    </row>
    <row r="1322">
      <c r="A1322" s="24"/>
      <c r="B1322" s="23"/>
      <c r="C1322" s="25"/>
      <c r="D1322" s="25"/>
      <c r="E1322" s="23"/>
      <c r="F1322" s="23"/>
      <c r="G1322" s="23"/>
      <c r="H1322" s="23"/>
      <c r="J1322" s="26"/>
    </row>
    <row r="1323">
      <c r="A1323" s="24"/>
      <c r="B1323" s="23"/>
      <c r="C1323" s="25"/>
      <c r="D1323" s="25"/>
      <c r="E1323" s="23"/>
      <c r="F1323" s="23"/>
      <c r="G1323" s="23"/>
      <c r="H1323" s="23"/>
      <c r="J1323" s="26"/>
    </row>
    <row r="1324">
      <c r="A1324" s="24"/>
      <c r="B1324" s="23"/>
      <c r="C1324" s="25"/>
      <c r="D1324" s="25"/>
      <c r="E1324" s="23"/>
      <c r="F1324" s="23"/>
      <c r="G1324" s="23"/>
      <c r="H1324" s="23"/>
      <c r="J1324" s="26"/>
    </row>
    <row r="1325">
      <c r="A1325" s="24"/>
      <c r="B1325" s="23"/>
      <c r="C1325" s="25"/>
      <c r="D1325" s="25"/>
      <c r="E1325" s="23"/>
      <c r="F1325" s="23"/>
      <c r="G1325" s="23"/>
      <c r="H1325" s="23"/>
      <c r="J1325" s="26"/>
    </row>
    <row r="1326">
      <c r="A1326" s="24"/>
      <c r="B1326" s="23"/>
      <c r="C1326" s="25"/>
      <c r="D1326" s="25"/>
      <c r="E1326" s="23"/>
      <c r="F1326" s="23"/>
      <c r="G1326" s="23"/>
      <c r="H1326" s="23"/>
      <c r="J1326" s="26"/>
    </row>
    <row r="1327">
      <c r="A1327" s="24"/>
      <c r="B1327" s="23"/>
      <c r="C1327" s="25"/>
      <c r="D1327" s="25"/>
      <c r="E1327" s="23"/>
      <c r="F1327" s="23"/>
      <c r="G1327" s="23"/>
      <c r="H1327" s="23"/>
      <c r="J1327" s="26"/>
    </row>
    <row r="1328">
      <c r="A1328" s="24"/>
      <c r="B1328" s="23"/>
      <c r="C1328" s="25"/>
      <c r="D1328" s="25"/>
      <c r="E1328" s="23"/>
      <c r="F1328" s="23"/>
      <c r="G1328" s="23"/>
      <c r="H1328" s="23"/>
      <c r="J1328" s="26"/>
    </row>
    <row r="1329">
      <c r="A1329" s="24"/>
      <c r="B1329" s="23"/>
      <c r="C1329" s="25"/>
      <c r="D1329" s="25"/>
      <c r="E1329" s="23"/>
      <c r="F1329" s="23"/>
      <c r="G1329" s="23"/>
      <c r="H1329" s="23"/>
      <c r="J1329" s="26"/>
    </row>
    <row r="1330">
      <c r="A1330" s="24"/>
      <c r="B1330" s="23"/>
      <c r="C1330" s="25"/>
      <c r="D1330" s="25"/>
      <c r="E1330" s="23"/>
      <c r="F1330" s="23"/>
      <c r="G1330" s="23"/>
      <c r="H1330" s="23"/>
      <c r="J1330" s="26"/>
    </row>
    <row r="1331">
      <c r="A1331" s="24"/>
      <c r="B1331" s="23"/>
      <c r="C1331" s="25"/>
      <c r="D1331" s="25"/>
      <c r="E1331" s="23"/>
      <c r="F1331" s="23"/>
      <c r="G1331" s="23"/>
      <c r="H1331" s="23"/>
      <c r="J1331" s="26"/>
    </row>
    <row r="1332">
      <c r="A1332" s="24"/>
      <c r="B1332" s="23"/>
      <c r="C1332" s="25"/>
      <c r="D1332" s="25"/>
      <c r="E1332" s="23"/>
      <c r="F1332" s="23"/>
      <c r="G1332" s="23"/>
      <c r="H1332" s="23"/>
      <c r="J1332" s="26"/>
    </row>
    <row r="1333">
      <c r="A1333" s="24"/>
      <c r="B1333" s="23"/>
      <c r="C1333" s="25"/>
      <c r="D1333" s="25"/>
      <c r="E1333" s="23"/>
      <c r="F1333" s="23"/>
      <c r="G1333" s="23"/>
      <c r="H1333" s="23"/>
      <c r="J1333" s="26"/>
    </row>
    <row r="1334">
      <c r="A1334" s="24"/>
      <c r="B1334" s="23"/>
      <c r="C1334" s="25"/>
      <c r="D1334" s="25"/>
      <c r="E1334" s="23"/>
      <c r="F1334" s="23"/>
      <c r="G1334" s="23"/>
      <c r="H1334" s="23"/>
      <c r="J1334" s="26"/>
    </row>
    <row r="1335">
      <c r="A1335" s="24"/>
      <c r="B1335" s="23"/>
      <c r="C1335" s="25"/>
      <c r="D1335" s="25"/>
      <c r="E1335" s="23"/>
      <c r="F1335" s="23"/>
      <c r="G1335" s="23"/>
      <c r="H1335" s="23"/>
      <c r="J1335" s="26"/>
    </row>
    <row r="1336">
      <c r="A1336" s="24"/>
      <c r="B1336" s="23"/>
      <c r="C1336" s="25"/>
      <c r="D1336" s="25"/>
      <c r="E1336" s="23"/>
      <c r="F1336" s="23"/>
      <c r="G1336" s="23"/>
      <c r="H1336" s="23"/>
      <c r="J1336" s="26"/>
    </row>
    <row r="1337">
      <c r="A1337" s="24"/>
      <c r="B1337" s="23"/>
      <c r="C1337" s="25"/>
      <c r="D1337" s="25"/>
      <c r="E1337" s="23"/>
      <c r="F1337" s="23"/>
      <c r="G1337" s="23"/>
      <c r="H1337" s="23"/>
      <c r="J1337" s="26"/>
    </row>
    <row r="1338">
      <c r="A1338" s="24"/>
      <c r="B1338" s="23"/>
      <c r="C1338" s="25"/>
      <c r="D1338" s="25"/>
      <c r="E1338" s="23"/>
      <c r="F1338" s="23"/>
      <c r="G1338" s="23"/>
      <c r="H1338" s="23"/>
      <c r="J1338" s="26"/>
    </row>
    <row r="1339">
      <c r="A1339" s="24"/>
      <c r="B1339" s="23"/>
      <c r="C1339" s="25"/>
      <c r="D1339" s="25"/>
      <c r="E1339" s="23"/>
      <c r="F1339" s="23"/>
      <c r="G1339" s="23"/>
      <c r="H1339" s="23"/>
      <c r="J1339" s="26"/>
    </row>
    <row r="1340">
      <c r="A1340" s="24"/>
      <c r="B1340" s="23"/>
      <c r="C1340" s="25"/>
      <c r="D1340" s="25"/>
      <c r="E1340" s="23"/>
      <c r="F1340" s="23"/>
      <c r="G1340" s="23"/>
      <c r="H1340" s="23"/>
      <c r="J1340" s="26"/>
    </row>
    <row r="1341">
      <c r="A1341" s="24"/>
      <c r="B1341" s="23"/>
      <c r="C1341" s="25"/>
      <c r="D1341" s="25"/>
      <c r="E1341" s="23"/>
      <c r="F1341" s="23"/>
      <c r="G1341" s="23"/>
      <c r="H1341" s="23"/>
      <c r="J1341" s="26"/>
    </row>
    <row r="1342">
      <c r="A1342" s="24"/>
      <c r="B1342" s="23"/>
      <c r="C1342" s="25"/>
      <c r="D1342" s="25"/>
      <c r="E1342" s="23"/>
      <c r="F1342" s="23"/>
      <c r="G1342" s="23"/>
      <c r="H1342" s="23"/>
      <c r="J1342" s="26"/>
    </row>
    <row r="1343">
      <c r="A1343" s="24"/>
      <c r="B1343" s="23"/>
      <c r="C1343" s="25"/>
      <c r="D1343" s="25"/>
      <c r="E1343" s="23"/>
      <c r="F1343" s="23"/>
      <c r="G1343" s="23"/>
      <c r="H1343" s="23"/>
      <c r="J1343" s="26"/>
    </row>
    <row r="1344">
      <c r="A1344" s="24"/>
      <c r="B1344" s="23"/>
      <c r="C1344" s="25"/>
      <c r="D1344" s="25"/>
      <c r="E1344" s="23"/>
      <c r="F1344" s="23"/>
      <c r="G1344" s="23"/>
      <c r="H1344" s="23"/>
      <c r="J1344" s="26"/>
    </row>
    <row r="1345">
      <c r="A1345" s="24"/>
      <c r="B1345" s="23"/>
      <c r="C1345" s="25"/>
      <c r="D1345" s="25"/>
      <c r="E1345" s="23"/>
      <c r="F1345" s="23"/>
      <c r="G1345" s="23"/>
      <c r="H1345" s="23"/>
      <c r="J1345" s="26"/>
    </row>
    <row r="1346">
      <c r="A1346" s="24"/>
      <c r="B1346" s="23"/>
      <c r="C1346" s="25"/>
      <c r="D1346" s="25"/>
      <c r="E1346" s="23"/>
      <c r="F1346" s="23"/>
      <c r="G1346" s="23"/>
      <c r="H1346" s="23"/>
      <c r="J1346" s="26"/>
    </row>
    <row r="1347">
      <c r="A1347" s="24"/>
      <c r="B1347" s="23"/>
      <c r="C1347" s="25"/>
      <c r="D1347" s="25"/>
      <c r="E1347" s="23"/>
      <c r="F1347" s="23"/>
      <c r="G1347" s="23"/>
      <c r="H1347" s="23"/>
      <c r="J1347" s="26"/>
    </row>
    <row r="1348">
      <c r="A1348" s="24"/>
      <c r="B1348" s="23"/>
      <c r="C1348" s="25"/>
      <c r="D1348" s="25"/>
      <c r="E1348" s="23"/>
      <c r="F1348" s="23"/>
      <c r="G1348" s="23"/>
      <c r="H1348" s="23"/>
      <c r="J1348" s="26"/>
    </row>
    <row r="1349">
      <c r="A1349" s="24"/>
      <c r="B1349" s="23"/>
      <c r="C1349" s="25"/>
      <c r="D1349" s="25"/>
      <c r="E1349" s="23"/>
      <c r="F1349" s="23"/>
      <c r="G1349" s="23"/>
      <c r="H1349" s="23"/>
      <c r="J1349" s="26"/>
    </row>
    <row r="1350">
      <c r="A1350" s="24"/>
      <c r="B1350" s="23"/>
      <c r="C1350" s="25"/>
      <c r="D1350" s="25"/>
      <c r="E1350" s="23"/>
      <c r="F1350" s="23"/>
      <c r="G1350" s="23"/>
      <c r="H1350" s="23"/>
      <c r="J1350" s="26"/>
    </row>
    <row r="1351">
      <c r="A1351" s="24"/>
      <c r="B1351" s="23"/>
      <c r="C1351" s="25"/>
      <c r="D1351" s="25"/>
      <c r="E1351" s="23"/>
      <c r="F1351" s="23"/>
      <c r="G1351" s="23"/>
      <c r="H1351" s="23"/>
      <c r="J1351" s="26"/>
    </row>
    <row r="1352">
      <c r="A1352" s="24"/>
      <c r="B1352" s="23"/>
      <c r="C1352" s="25"/>
      <c r="D1352" s="25"/>
      <c r="E1352" s="23"/>
      <c r="F1352" s="23"/>
      <c r="G1352" s="23"/>
      <c r="H1352" s="23"/>
      <c r="J1352" s="26"/>
    </row>
    <row r="1353">
      <c r="A1353" s="24"/>
      <c r="B1353" s="23"/>
      <c r="C1353" s="25"/>
      <c r="D1353" s="25"/>
      <c r="E1353" s="23"/>
      <c r="F1353" s="23"/>
      <c r="G1353" s="23"/>
      <c r="H1353" s="23"/>
      <c r="J1353" s="26"/>
    </row>
    <row r="1354">
      <c r="A1354" s="24"/>
      <c r="B1354" s="23"/>
      <c r="C1354" s="25"/>
      <c r="D1354" s="25"/>
      <c r="E1354" s="23"/>
      <c r="F1354" s="23"/>
      <c r="G1354" s="23"/>
      <c r="H1354" s="23"/>
      <c r="J1354" s="26"/>
    </row>
    <row r="1355">
      <c r="A1355" s="24"/>
      <c r="B1355" s="23"/>
      <c r="C1355" s="25"/>
      <c r="D1355" s="25"/>
      <c r="E1355" s="23"/>
      <c r="F1355" s="23"/>
      <c r="G1355" s="23"/>
      <c r="H1355" s="23"/>
      <c r="J1355" s="26"/>
    </row>
    <row r="1356">
      <c r="A1356" s="24"/>
      <c r="B1356" s="23"/>
      <c r="C1356" s="25"/>
      <c r="D1356" s="25"/>
      <c r="E1356" s="23"/>
      <c r="F1356" s="23"/>
      <c r="G1356" s="23"/>
      <c r="H1356" s="23"/>
      <c r="J1356" s="26"/>
    </row>
    <row r="1357">
      <c r="A1357" s="24"/>
      <c r="B1357" s="23"/>
      <c r="C1357" s="25"/>
      <c r="D1357" s="25"/>
      <c r="E1357" s="23"/>
      <c r="F1357" s="23"/>
      <c r="G1357" s="23"/>
      <c r="H1357" s="23"/>
      <c r="J1357" s="26"/>
    </row>
    <row r="1358">
      <c r="A1358" s="24"/>
      <c r="B1358" s="23"/>
      <c r="C1358" s="25"/>
      <c r="D1358" s="25"/>
      <c r="E1358" s="23"/>
      <c r="F1358" s="23"/>
      <c r="G1358" s="23"/>
      <c r="H1358" s="23"/>
      <c r="J1358" s="26"/>
    </row>
    <row r="1359">
      <c r="A1359" s="24"/>
      <c r="B1359" s="23"/>
      <c r="C1359" s="25"/>
      <c r="D1359" s="25"/>
      <c r="E1359" s="23"/>
      <c r="F1359" s="23"/>
      <c r="G1359" s="23"/>
      <c r="H1359" s="23"/>
      <c r="J1359" s="26"/>
    </row>
    <row r="1360">
      <c r="A1360" s="24"/>
      <c r="B1360" s="23"/>
      <c r="C1360" s="25"/>
      <c r="D1360" s="25"/>
      <c r="E1360" s="23"/>
      <c r="F1360" s="23"/>
      <c r="G1360" s="23"/>
      <c r="H1360" s="23"/>
      <c r="J1360" s="26"/>
    </row>
    <row r="1361">
      <c r="A1361" s="24"/>
      <c r="B1361" s="23"/>
      <c r="C1361" s="25"/>
      <c r="D1361" s="25"/>
      <c r="E1361" s="23"/>
      <c r="F1361" s="23"/>
      <c r="G1361" s="23"/>
      <c r="H1361" s="23"/>
      <c r="J1361" s="26"/>
    </row>
    <row r="1362">
      <c r="A1362" s="24"/>
      <c r="B1362" s="23"/>
      <c r="C1362" s="25"/>
      <c r="D1362" s="25"/>
      <c r="E1362" s="23"/>
      <c r="F1362" s="23"/>
      <c r="G1362" s="23"/>
      <c r="H1362" s="23"/>
      <c r="J1362" s="26"/>
    </row>
    <row r="1363">
      <c r="A1363" s="24"/>
      <c r="B1363" s="23"/>
      <c r="C1363" s="25"/>
      <c r="D1363" s="25"/>
      <c r="E1363" s="23"/>
      <c r="F1363" s="23"/>
      <c r="G1363" s="23"/>
      <c r="H1363" s="23"/>
      <c r="J1363" s="26"/>
    </row>
    <row r="1364">
      <c r="A1364" s="24"/>
      <c r="B1364" s="23"/>
      <c r="C1364" s="25"/>
      <c r="D1364" s="25"/>
      <c r="E1364" s="23"/>
      <c r="F1364" s="23"/>
      <c r="G1364" s="23"/>
      <c r="H1364" s="23"/>
      <c r="J1364" s="26"/>
    </row>
    <row r="1365">
      <c r="A1365" s="24"/>
      <c r="B1365" s="23"/>
      <c r="C1365" s="25"/>
      <c r="D1365" s="25"/>
      <c r="E1365" s="23"/>
      <c r="F1365" s="23"/>
      <c r="G1365" s="23"/>
      <c r="H1365" s="23"/>
      <c r="J1365" s="26"/>
    </row>
    <row r="1366">
      <c r="A1366" s="24"/>
      <c r="B1366" s="23"/>
      <c r="C1366" s="25"/>
      <c r="D1366" s="25"/>
      <c r="E1366" s="23"/>
      <c r="F1366" s="23"/>
      <c r="G1366" s="23"/>
      <c r="H1366" s="23"/>
      <c r="J1366" s="26"/>
    </row>
    <row r="1367">
      <c r="A1367" s="24"/>
      <c r="B1367" s="23"/>
      <c r="C1367" s="25"/>
      <c r="D1367" s="25"/>
      <c r="E1367" s="23"/>
      <c r="F1367" s="23"/>
      <c r="G1367" s="23"/>
      <c r="H1367" s="23"/>
      <c r="J1367" s="26"/>
    </row>
    <row r="1368">
      <c r="A1368" s="24"/>
      <c r="B1368" s="23"/>
      <c r="C1368" s="25"/>
      <c r="D1368" s="25"/>
      <c r="E1368" s="23"/>
      <c r="F1368" s="23"/>
      <c r="G1368" s="23"/>
      <c r="H1368" s="23"/>
      <c r="J1368" s="26"/>
    </row>
    <row r="1369">
      <c r="A1369" s="24"/>
      <c r="B1369" s="23"/>
      <c r="C1369" s="25"/>
      <c r="D1369" s="25"/>
      <c r="E1369" s="23"/>
      <c r="F1369" s="23"/>
      <c r="G1369" s="23"/>
      <c r="H1369" s="23"/>
      <c r="J1369" s="26"/>
    </row>
    <row r="1370">
      <c r="A1370" s="24"/>
      <c r="B1370" s="23"/>
      <c r="C1370" s="25"/>
      <c r="D1370" s="25"/>
      <c r="E1370" s="23"/>
      <c r="F1370" s="23"/>
      <c r="G1370" s="23"/>
      <c r="H1370" s="23"/>
      <c r="J1370" s="26"/>
    </row>
    <row r="1371">
      <c r="A1371" s="24"/>
      <c r="B1371" s="23"/>
      <c r="C1371" s="25"/>
      <c r="D1371" s="25"/>
      <c r="E1371" s="23"/>
      <c r="F1371" s="23"/>
      <c r="G1371" s="23"/>
      <c r="H1371" s="23"/>
      <c r="J1371" s="26"/>
    </row>
    <row r="1372">
      <c r="A1372" s="24"/>
      <c r="B1372" s="23"/>
      <c r="C1372" s="25"/>
      <c r="D1372" s="25"/>
      <c r="E1372" s="23"/>
      <c r="F1372" s="23"/>
      <c r="G1372" s="23"/>
      <c r="H1372" s="23"/>
      <c r="J1372" s="26"/>
    </row>
    <row r="1373">
      <c r="A1373" s="24"/>
      <c r="B1373" s="23"/>
      <c r="C1373" s="25"/>
      <c r="D1373" s="25"/>
      <c r="E1373" s="23"/>
      <c r="F1373" s="23"/>
      <c r="G1373" s="23"/>
      <c r="H1373" s="23"/>
      <c r="J1373" s="26"/>
    </row>
    <row r="1374">
      <c r="A1374" s="24"/>
      <c r="B1374" s="23"/>
      <c r="C1374" s="25"/>
      <c r="D1374" s="25"/>
      <c r="E1374" s="23"/>
      <c r="F1374" s="23"/>
      <c r="G1374" s="23"/>
      <c r="H1374" s="23"/>
      <c r="J1374" s="26"/>
    </row>
    <row r="1375">
      <c r="A1375" s="24"/>
      <c r="B1375" s="23"/>
      <c r="C1375" s="25"/>
      <c r="D1375" s="25"/>
      <c r="E1375" s="23"/>
      <c r="F1375" s="23"/>
      <c r="G1375" s="23"/>
      <c r="H1375" s="23"/>
      <c r="J1375" s="26"/>
    </row>
    <row r="1376">
      <c r="A1376" s="24"/>
      <c r="B1376" s="23"/>
      <c r="C1376" s="25"/>
      <c r="D1376" s="25"/>
      <c r="E1376" s="23"/>
      <c r="F1376" s="23"/>
      <c r="G1376" s="23"/>
      <c r="H1376" s="23"/>
      <c r="J1376" s="26"/>
    </row>
    <row r="1377">
      <c r="A1377" s="24"/>
      <c r="B1377" s="23"/>
      <c r="C1377" s="25"/>
      <c r="D1377" s="25"/>
      <c r="E1377" s="23"/>
      <c r="F1377" s="23"/>
      <c r="G1377" s="23"/>
      <c r="H1377" s="23"/>
      <c r="J1377" s="26"/>
    </row>
    <row r="1378">
      <c r="A1378" s="24"/>
      <c r="B1378" s="23"/>
      <c r="C1378" s="25"/>
      <c r="D1378" s="25"/>
      <c r="E1378" s="23"/>
      <c r="F1378" s="23"/>
      <c r="G1378" s="23"/>
      <c r="H1378" s="23"/>
      <c r="J1378" s="26"/>
    </row>
    <row r="1379">
      <c r="A1379" s="24"/>
      <c r="B1379" s="23"/>
      <c r="C1379" s="25"/>
      <c r="D1379" s="25"/>
      <c r="E1379" s="23"/>
      <c r="F1379" s="23"/>
      <c r="G1379" s="23"/>
      <c r="H1379" s="23"/>
      <c r="J1379" s="26"/>
    </row>
    <row r="1380">
      <c r="A1380" s="24"/>
      <c r="B1380" s="23"/>
      <c r="C1380" s="25"/>
      <c r="D1380" s="25"/>
      <c r="E1380" s="23"/>
      <c r="F1380" s="23"/>
      <c r="G1380" s="23"/>
      <c r="H1380" s="23"/>
      <c r="J1380" s="26"/>
    </row>
    <row r="1381">
      <c r="A1381" s="24"/>
      <c r="B1381" s="23"/>
      <c r="C1381" s="25"/>
      <c r="D1381" s="25"/>
      <c r="E1381" s="23"/>
      <c r="F1381" s="23"/>
      <c r="G1381" s="23"/>
      <c r="H1381" s="23"/>
      <c r="J1381" s="26"/>
    </row>
    <row r="1382">
      <c r="A1382" s="24"/>
      <c r="B1382" s="23"/>
      <c r="C1382" s="25"/>
      <c r="D1382" s="25"/>
      <c r="E1382" s="23"/>
      <c r="F1382" s="23"/>
      <c r="G1382" s="23"/>
      <c r="H1382" s="23"/>
      <c r="J1382" s="26"/>
    </row>
    <row r="1383">
      <c r="A1383" s="24"/>
      <c r="B1383" s="23"/>
      <c r="C1383" s="25"/>
      <c r="D1383" s="25"/>
      <c r="E1383" s="23"/>
      <c r="F1383" s="23"/>
      <c r="G1383" s="23"/>
      <c r="H1383" s="23"/>
      <c r="J1383" s="26"/>
    </row>
    <row r="1384">
      <c r="A1384" s="24"/>
      <c r="B1384" s="23"/>
      <c r="C1384" s="25"/>
      <c r="D1384" s="25"/>
      <c r="E1384" s="23"/>
      <c r="F1384" s="23"/>
      <c r="G1384" s="23"/>
      <c r="H1384" s="23"/>
      <c r="J1384" s="26"/>
    </row>
    <row r="1385">
      <c r="A1385" s="24"/>
      <c r="B1385" s="23"/>
      <c r="C1385" s="25"/>
      <c r="D1385" s="25"/>
      <c r="E1385" s="23"/>
      <c r="F1385" s="23"/>
      <c r="G1385" s="23"/>
      <c r="H1385" s="23"/>
      <c r="J1385" s="26"/>
    </row>
    <row r="1386">
      <c r="A1386" s="24"/>
      <c r="B1386" s="23"/>
      <c r="C1386" s="25"/>
      <c r="D1386" s="25"/>
      <c r="E1386" s="23"/>
      <c r="F1386" s="23"/>
      <c r="G1386" s="23"/>
      <c r="H1386" s="23"/>
      <c r="J1386" s="26"/>
    </row>
    <row r="1387">
      <c r="A1387" s="24"/>
      <c r="B1387" s="23"/>
      <c r="C1387" s="25"/>
      <c r="D1387" s="25"/>
      <c r="E1387" s="23"/>
      <c r="F1387" s="23"/>
      <c r="G1387" s="23"/>
      <c r="H1387" s="23"/>
      <c r="J1387" s="26"/>
    </row>
    <row r="1388">
      <c r="A1388" s="24"/>
      <c r="B1388" s="23"/>
      <c r="C1388" s="25"/>
      <c r="D1388" s="25"/>
      <c r="E1388" s="23"/>
      <c r="F1388" s="23"/>
      <c r="G1388" s="23"/>
      <c r="H1388" s="23"/>
      <c r="J1388" s="26"/>
    </row>
    <row r="1389">
      <c r="A1389" s="24"/>
      <c r="B1389" s="23"/>
      <c r="C1389" s="25"/>
      <c r="D1389" s="25"/>
      <c r="E1389" s="23"/>
      <c r="F1389" s="23"/>
      <c r="G1389" s="23"/>
      <c r="H1389" s="23"/>
      <c r="J1389" s="26"/>
    </row>
    <row r="1390">
      <c r="A1390" s="24"/>
      <c r="B1390" s="23"/>
      <c r="C1390" s="25"/>
      <c r="D1390" s="25"/>
      <c r="E1390" s="23"/>
      <c r="F1390" s="23"/>
      <c r="G1390" s="23"/>
      <c r="H1390" s="23"/>
      <c r="J1390" s="26"/>
    </row>
    <row r="1391">
      <c r="A1391" s="24"/>
      <c r="B1391" s="23"/>
      <c r="C1391" s="25"/>
      <c r="D1391" s="25"/>
      <c r="E1391" s="23"/>
      <c r="F1391" s="23"/>
      <c r="G1391" s="23"/>
      <c r="H1391" s="23"/>
      <c r="J1391" s="26"/>
    </row>
    <row r="1392">
      <c r="A1392" s="24"/>
      <c r="B1392" s="23"/>
      <c r="C1392" s="25"/>
      <c r="D1392" s="25"/>
      <c r="E1392" s="23"/>
      <c r="F1392" s="23"/>
      <c r="G1392" s="23"/>
      <c r="H1392" s="23"/>
      <c r="J1392" s="26"/>
    </row>
    <row r="1393">
      <c r="A1393" s="24"/>
      <c r="B1393" s="23"/>
      <c r="C1393" s="25"/>
      <c r="D1393" s="25"/>
      <c r="E1393" s="23"/>
      <c r="F1393" s="23"/>
      <c r="G1393" s="23"/>
      <c r="H1393" s="23"/>
      <c r="J1393" s="26"/>
    </row>
    <row r="1394">
      <c r="A1394" s="24"/>
      <c r="B1394" s="23"/>
      <c r="C1394" s="25"/>
      <c r="D1394" s="25"/>
      <c r="E1394" s="23"/>
      <c r="F1394" s="23"/>
      <c r="G1394" s="23"/>
      <c r="H1394" s="23"/>
      <c r="J1394" s="26"/>
    </row>
    <row r="1395">
      <c r="A1395" s="24"/>
      <c r="B1395" s="23"/>
      <c r="C1395" s="25"/>
      <c r="D1395" s="25"/>
      <c r="E1395" s="23"/>
      <c r="F1395" s="23"/>
      <c r="G1395" s="23"/>
      <c r="H1395" s="23"/>
      <c r="J1395" s="26"/>
    </row>
    <row r="1396">
      <c r="A1396" s="24"/>
      <c r="B1396" s="23"/>
      <c r="C1396" s="25"/>
      <c r="D1396" s="25"/>
      <c r="E1396" s="23"/>
      <c r="F1396" s="23"/>
      <c r="G1396" s="23"/>
      <c r="H1396" s="23"/>
      <c r="J1396" s="26"/>
    </row>
    <row r="1397">
      <c r="A1397" s="24"/>
      <c r="B1397" s="23"/>
      <c r="C1397" s="25"/>
      <c r="D1397" s="25"/>
      <c r="E1397" s="23"/>
      <c r="F1397" s="23"/>
      <c r="G1397" s="23"/>
      <c r="H1397" s="23"/>
      <c r="J1397" s="26"/>
    </row>
    <row r="1398">
      <c r="A1398" s="24"/>
      <c r="B1398" s="23"/>
      <c r="C1398" s="25"/>
      <c r="D1398" s="25"/>
      <c r="E1398" s="23"/>
      <c r="F1398" s="23"/>
      <c r="G1398" s="23"/>
      <c r="H1398" s="23"/>
      <c r="J1398" s="26"/>
    </row>
    <row r="1399">
      <c r="A1399" s="24"/>
      <c r="B1399" s="23"/>
      <c r="C1399" s="25"/>
      <c r="D1399" s="25"/>
      <c r="E1399" s="23"/>
      <c r="F1399" s="23"/>
      <c r="G1399" s="23"/>
      <c r="H1399" s="23"/>
      <c r="J1399" s="26"/>
    </row>
    <row r="1400">
      <c r="A1400" s="24"/>
      <c r="B1400" s="23"/>
      <c r="C1400" s="25"/>
      <c r="D1400" s="25"/>
      <c r="E1400" s="23"/>
      <c r="F1400" s="23"/>
      <c r="G1400" s="23"/>
      <c r="H1400" s="23"/>
      <c r="J1400" s="26"/>
    </row>
    <row r="1401">
      <c r="A1401" s="24"/>
      <c r="B1401" s="23"/>
      <c r="C1401" s="25"/>
      <c r="D1401" s="25"/>
      <c r="E1401" s="23"/>
      <c r="F1401" s="23"/>
      <c r="G1401" s="23"/>
      <c r="H1401" s="23"/>
      <c r="J1401" s="26"/>
    </row>
    <row r="1402">
      <c r="A1402" s="24"/>
      <c r="B1402" s="23"/>
      <c r="C1402" s="25"/>
      <c r="D1402" s="25"/>
      <c r="E1402" s="23"/>
      <c r="F1402" s="23"/>
      <c r="G1402" s="23"/>
      <c r="H1402" s="23"/>
      <c r="J1402" s="26"/>
    </row>
    <row r="1403">
      <c r="A1403" s="24"/>
      <c r="B1403" s="23"/>
      <c r="C1403" s="25"/>
      <c r="D1403" s="25"/>
      <c r="E1403" s="23"/>
      <c r="F1403" s="23"/>
      <c r="G1403" s="23"/>
      <c r="H1403" s="23"/>
      <c r="J1403" s="26"/>
    </row>
    <row r="1404">
      <c r="A1404" s="24"/>
      <c r="B1404" s="23"/>
      <c r="C1404" s="25"/>
      <c r="D1404" s="25"/>
      <c r="E1404" s="23"/>
      <c r="F1404" s="23"/>
      <c r="G1404" s="23"/>
      <c r="H1404" s="23"/>
      <c r="J1404" s="26"/>
    </row>
    <row r="1405">
      <c r="A1405" s="24"/>
      <c r="B1405" s="23"/>
      <c r="C1405" s="25"/>
      <c r="D1405" s="25"/>
      <c r="E1405" s="23"/>
      <c r="F1405" s="23"/>
      <c r="G1405" s="23"/>
      <c r="H1405" s="23"/>
      <c r="J1405" s="26"/>
    </row>
    <row r="1406">
      <c r="A1406" s="24"/>
      <c r="B1406" s="23"/>
      <c r="C1406" s="25"/>
      <c r="D1406" s="25"/>
      <c r="E1406" s="23"/>
      <c r="F1406" s="23"/>
      <c r="G1406" s="23"/>
      <c r="H1406" s="23"/>
      <c r="J1406" s="26"/>
    </row>
    <row r="1407">
      <c r="A1407" s="24"/>
      <c r="B1407" s="23"/>
      <c r="C1407" s="25"/>
      <c r="D1407" s="25"/>
      <c r="E1407" s="23"/>
      <c r="F1407" s="23"/>
      <c r="G1407" s="23"/>
      <c r="H1407" s="23"/>
      <c r="J1407" s="26"/>
    </row>
    <row r="1408">
      <c r="A1408" s="24"/>
      <c r="B1408" s="23"/>
      <c r="C1408" s="25"/>
      <c r="D1408" s="25"/>
      <c r="E1408" s="23"/>
      <c r="F1408" s="23"/>
      <c r="G1408" s="23"/>
      <c r="H1408" s="23"/>
      <c r="J1408" s="26"/>
    </row>
    <row r="1409">
      <c r="A1409" s="24"/>
      <c r="B1409" s="23"/>
      <c r="C1409" s="25"/>
      <c r="D1409" s="25"/>
      <c r="E1409" s="23"/>
      <c r="F1409" s="23"/>
      <c r="G1409" s="23"/>
      <c r="H1409" s="23"/>
      <c r="J1409" s="26"/>
    </row>
    <row r="1410">
      <c r="A1410" s="24"/>
      <c r="B1410" s="23"/>
      <c r="C1410" s="25"/>
      <c r="D1410" s="25"/>
      <c r="E1410" s="23"/>
      <c r="F1410" s="23"/>
      <c r="G1410" s="23"/>
      <c r="H1410" s="23"/>
      <c r="J1410" s="26"/>
    </row>
    <row r="1411">
      <c r="A1411" s="24"/>
      <c r="B1411" s="23"/>
      <c r="C1411" s="25"/>
      <c r="D1411" s="25"/>
      <c r="E1411" s="23"/>
      <c r="F1411" s="23"/>
      <c r="G1411" s="23"/>
      <c r="H1411" s="23"/>
      <c r="J1411" s="26"/>
    </row>
    <row r="1412">
      <c r="A1412" s="24"/>
      <c r="B1412" s="23"/>
      <c r="C1412" s="25"/>
      <c r="D1412" s="25"/>
      <c r="E1412" s="23"/>
      <c r="F1412" s="23"/>
      <c r="G1412" s="23"/>
      <c r="H1412" s="23"/>
      <c r="J1412" s="26"/>
    </row>
    <row r="1413">
      <c r="A1413" s="24"/>
      <c r="B1413" s="23"/>
      <c r="C1413" s="25"/>
      <c r="D1413" s="25"/>
      <c r="E1413" s="23"/>
      <c r="F1413" s="23"/>
      <c r="G1413" s="23"/>
      <c r="H1413" s="23"/>
      <c r="J1413" s="26"/>
    </row>
    <row r="1414">
      <c r="A1414" s="24"/>
      <c r="B1414" s="23"/>
      <c r="C1414" s="25"/>
      <c r="D1414" s="25"/>
      <c r="E1414" s="23"/>
      <c r="F1414" s="23"/>
      <c r="G1414" s="23"/>
      <c r="H1414" s="23"/>
      <c r="J1414" s="26"/>
    </row>
    <row r="1415">
      <c r="A1415" s="24"/>
      <c r="B1415" s="23"/>
      <c r="C1415" s="25"/>
      <c r="D1415" s="25"/>
      <c r="E1415" s="23"/>
      <c r="F1415" s="23"/>
      <c r="G1415" s="23"/>
      <c r="H1415" s="23"/>
      <c r="J1415" s="26"/>
    </row>
    <row r="1416">
      <c r="A1416" s="24"/>
      <c r="B1416" s="23"/>
      <c r="C1416" s="25"/>
      <c r="D1416" s="25"/>
      <c r="E1416" s="23"/>
      <c r="F1416" s="23"/>
      <c r="G1416" s="23"/>
      <c r="H1416" s="23"/>
      <c r="J1416" s="26"/>
    </row>
    <row r="1417">
      <c r="A1417" s="24"/>
      <c r="B1417" s="23"/>
      <c r="C1417" s="25"/>
      <c r="D1417" s="25"/>
      <c r="E1417" s="23"/>
      <c r="F1417" s="23"/>
      <c r="G1417" s="23"/>
      <c r="H1417" s="23"/>
      <c r="J1417" s="26"/>
    </row>
    <row r="1418">
      <c r="A1418" s="24"/>
      <c r="B1418" s="23"/>
      <c r="C1418" s="25"/>
      <c r="D1418" s="25"/>
      <c r="E1418" s="23"/>
      <c r="F1418" s="23"/>
      <c r="G1418" s="23"/>
      <c r="H1418" s="23"/>
      <c r="J1418" s="26"/>
    </row>
    <row r="1419">
      <c r="A1419" s="24"/>
      <c r="B1419" s="23"/>
      <c r="C1419" s="25"/>
      <c r="D1419" s="25"/>
      <c r="E1419" s="23"/>
      <c r="F1419" s="23"/>
      <c r="G1419" s="23"/>
      <c r="H1419" s="23"/>
      <c r="J1419" s="26"/>
    </row>
    <row r="1420">
      <c r="A1420" s="24"/>
      <c r="B1420" s="23"/>
      <c r="C1420" s="25"/>
      <c r="D1420" s="25"/>
      <c r="E1420" s="23"/>
      <c r="F1420" s="23"/>
      <c r="G1420" s="23"/>
      <c r="H1420" s="23"/>
      <c r="J1420" s="26"/>
    </row>
    <row r="1421">
      <c r="A1421" s="24"/>
      <c r="B1421" s="23"/>
      <c r="C1421" s="25"/>
      <c r="D1421" s="25"/>
      <c r="E1421" s="23"/>
      <c r="F1421" s="23"/>
      <c r="G1421" s="23"/>
      <c r="H1421" s="23"/>
      <c r="J1421" s="26"/>
    </row>
    <row r="1422">
      <c r="A1422" s="24"/>
      <c r="B1422" s="23"/>
      <c r="C1422" s="25"/>
      <c r="D1422" s="25"/>
      <c r="E1422" s="23"/>
      <c r="F1422" s="23"/>
      <c r="G1422" s="23"/>
      <c r="H1422" s="23"/>
      <c r="J1422" s="26"/>
    </row>
    <row r="1423">
      <c r="A1423" s="24"/>
      <c r="B1423" s="23"/>
      <c r="C1423" s="25"/>
      <c r="D1423" s="25"/>
      <c r="E1423" s="23"/>
      <c r="F1423" s="23"/>
      <c r="G1423" s="23"/>
      <c r="H1423" s="23"/>
      <c r="J1423" s="26"/>
    </row>
    <row r="1424">
      <c r="A1424" s="24"/>
      <c r="B1424" s="23"/>
      <c r="C1424" s="25"/>
      <c r="D1424" s="25"/>
      <c r="E1424" s="23"/>
      <c r="F1424" s="23"/>
      <c r="G1424" s="23"/>
      <c r="H1424" s="23"/>
      <c r="J1424" s="26"/>
    </row>
    <row r="1425">
      <c r="A1425" s="24"/>
      <c r="B1425" s="23"/>
      <c r="C1425" s="25"/>
      <c r="D1425" s="25"/>
      <c r="E1425" s="23"/>
      <c r="F1425" s="23"/>
      <c r="G1425" s="23"/>
      <c r="H1425" s="23"/>
      <c r="J1425" s="26"/>
    </row>
    <row r="1426">
      <c r="A1426" s="24"/>
      <c r="B1426" s="23"/>
      <c r="C1426" s="25"/>
      <c r="D1426" s="25"/>
      <c r="E1426" s="23"/>
      <c r="F1426" s="23"/>
      <c r="G1426" s="23"/>
      <c r="H1426" s="23"/>
      <c r="J1426" s="26"/>
    </row>
    <row r="1427">
      <c r="A1427" s="24"/>
      <c r="B1427" s="23"/>
      <c r="C1427" s="25"/>
      <c r="D1427" s="25"/>
      <c r="E1427" s="23"/>
      <c r="F1427" s="23"/>
      <c r="G1427" s="23"/>
      <c r="H1427" s="23"/>
      <c r="J1427" s="26"/>
    </row>
    <row r="1428">
      <c r="A1428" s="24"/>
      <c r="B1428" s="23"/>
      <c r="C1428" s="25"/>
      <c r="D1428" s="25"/>
      <c r="E1428" s="23"/>
      <c r="F1428" s="23"/>
      <c r="G1428" s="23"/>
      <c r="H1428" s="23"/>
      <c r="J1428" s="26"/>
    </row>
    <row r="1429">
      <c r="A1429" s="24"/>
      <c r="B1429" s="23"/>
      <c r="C1429" s="25"/>
      <c r="D1429" s="25"/>
      <c r="E1429" s="23"/>
      <c r="F1429" s="23"/>
      <c r="G1429" s="23"/>
      <c r="H1429" s="23"/>
      <c r="J1429" s="26"/>
    </row>
    <row r="1430">
      <c r="A1430" s="24"/>
      <c r="B1430" s="23"/>
      <c r="C1430" s="25"/>
      <c r="D1430" s="25"/>
      <c r="E1430" s="23"/>
      <c r="F1430" s="23"/>
      <c r="G1430" s="23"/>
      <c r="H1430" s="23"/>
      <c r="J1430" s="26"/>
    </row>
    <row r="1431">
      <c r="A1431" s="24"/>
      <c r="B1431" s="23"/>
      <c r="C1431" s="25"/>
      <c r="D1431" s="25"/>
      <c r="E1431" s="23"/>
      <c r="F1431" s="23"/>
      <c r="G1431" s="23"/>
      <c r="H1431" s="23"/>
      <c r="J1431" s="26"/>
    </row>
    <row r="1432">
      <c r="A1432" s="24"/>
      <c r="B1432" s="23"/>
      <c r="C1432" s="25"/>
      <c r="D1432" s="25"/>
      <c r="E1432" s="23"/>
      <c r="F1432" s="23"/>
      <c r="G1432" s="23"/>
      <c r="H1432" s="23"/>
      <c r="J1432" s="26"/>
    </row>
    <row r="1433">
      <c r="A1433" s="24"/>
      <c r="B1433" s="23"/>
      <c r="C1433" s="25"/>
      <c r="D1433" s="25"/>
      <c r="E1433" s="23"/>
      <c r="F1433" s="23"/>
      <c r="G1433" s="23"/>
      <c r="H1433" s="23"/>
      <c r="J1433" s="26"/>
    </row>
    <row r="1434">
      <c r="A1434" s="24"/>
      <c r="B1434" s="23"/>
      <c r="C1434" s="25"/>
      <c r="D1434" s="25"/>
      <c r="E1434" s="23"/>
      <c r="F1434" s="23"/>
      <c r="G1434" s="23"/>
      <c r="H1434" s="23"/>
      <c r="J1434" s="26"/>
    </row>
    <row r="1435">
      <c r="A1435" s="24"/>
      <c r="B1435" s="23"/>
      <c r="C1435" s="25"/>
      <c r="D1435" s="25"/>
      <c r="E1435" s="23"/>
      <c r="F1435" s="23"/>
      <c r="G1435" s="23"/>
      <c r="H1435" s="23"/>
      <c r="J1435" s="26"/>
    </row>
    <row r="1436">
      <c r="A1436" s="24"/>
      <c r="B1436" s="23"/>
      <c r="C1436" s="25"/>
      <c r="D1436" s="25"/>
      <c r="E1436" s="23"/>
      <c r="F1436" s="23"/>
      <c r="G1436" s="23"/>
      <c r="H1436" s="23"/>
      <c r="J1436" s="26"/>
    </row>
    <row r="1437">
      <c r="A1437" s="24"/>
      <c r="B1437" s="23"/>
      <c r="C1437" s="25"/>
      <c r="D1437" s="25"/>
      <c r="E1437" s="23"/>
      <c r="F1437" s="23"/>
      <c r="G1437" s="23"/>
      <c r="H1437" s="23"/>
      <c r="J1437" s="26"/>
    </row>
    <row r="1438">
      <c r="A1438" s="24"/>
      <c r="B1438" s="23"/>
      <c r="C1438" s="25"/>
      <c r="D1438" s="25"/>
      <c r="E1438" s="23"/>
      <c r="F1438" s="23"/>
      <c r="G1438" s="23"/>
      <c r="H1438" s="23"/>
      <c r="J1438" s="26"/>
    </row>
    <row r="1439">
      <c r="A1439" s="24"/>
      <c r="B1439" s="23"/>
      <c r="C1439" s="25"/>
      <c r="D1439" s="25"/>
      <c r="E1439" s="23"/>
      <c r="F1439" s="23"/>
      <c r="G1439" s="23"/>
      <c r="H1439" s="23"/>
      <c r="J1439" s="26"/>
    </row>
    <row r="1440">
      <c r="A1440" s="24"/>
      <c r="B1440" s="23"/>
      <c r="C1440" s="25"/>
      <c r="D1440" s="25"/>
      <c r="E1440" s="23"/>
      <c r="F1440" s="23"/>
      <c r="G1440" s="23"/>
      <c r="H1440" s="23"/>
      <c r="J1440" s="26"/>
    </row>
    <row r="1441">
      <c r="A1441" s="24"/>
      <c r="B1441" s="23"/>
      <c r="C1441" s="25"/>
      <c r="D1441" s="25"/>
      <c r="E1441" s="23"/>
      <c r="F1441" s="23"/>
      <c r="G1441" s="23"/>
      <c r="H1441" s="23"/>
      <c r="J1441" s="26"/>
    </row>
    <row r="1442">
      <c r="A1442" s="24"/>
      <c r="B1442" s="23"/>
      <c r="C1442" s="25"/>
      <c r="D1442" s="25"/>
      <c r="E1442" s="23"/>
      <c r="F1442" s="23"/>
      <c r="G1442" s="23"/>
      <c r="H1442" s="23"/>
      <c r="J1442" s="26"/>
    </row>
    <row r="1443">
      <c r="A1443" s="24"/>
      <c r="B1443" s="23"/>
      <c r="C1443" s="25"/>
      <c r="D1443" s="25"/>
      <c r="E1443" s="23"/>
      <c r="F1443" s="23"/>
      <c r="G1443" s="23"/>
      <c r="H1443" s="23"/>
      <c r="J1443" s="26"/>
    </row>
    <row r="1444">
      <c r="A1444" s="24"/>
      <c r="B1444" s="23"/>
      <c r="C1444" s="25"/>
      <c r="D1444" s="25"/>
      <c r="E1444" s="23"/>
      <c r="F1444" s="23"/>
      <c r="G1444" s="23"/>
      <c r="H1444" s="23"/>
      <c r="J1444" s="26"/>
    </row>
    <row r="1445">
      <c r="A1445" s="24"/>
      <c r="B1445" s="23"/>
      <c r="C1445" s="25"/>
      <c r="D1445" s="25"/>
      <c r="E1445" s="23"/>
      <c r="F1445" s="23"/>
      <c r="G1445" s="23"/>
      <c r="H1445" s="23"/>
      <c r="J1445" s="26"/>
    </row>
    <row r="1446">
      <c r="A1446" s="24"/>
      <c r="B1446" s="23"/>
      <c r="C1446" s="25"/>
      <c r="D1446" s="25"/>
      <c r="E1446" s="23"/>
      <c r="F1446" s="23"/>
      <c r="G1446" s="23"/>
      <c r="H1446" s="23"/>
      <c r="J1446" s="26"/>
    </row>
    <row r="1447">
      <c r="A1447" s="24"/>
      <c r="B1447" s="23"/>
      <c r="C1447" s="25"/>
      <c r="D1447" s="25"/>
      <c r="E1447" s="23"/>
      <c r="F1447" s="23"/>
      <c r="G1447" s="23"/>
      <c r="H1447" s="23"/>
      <c r="J1447" s="26"/>
    </row>
    <row r="1448">
      <c r="A1448" s="24"/>
      <c r="B1448" s="23"/>
      <c r="C1448" s="25"/>
      <c r="D1448" s="25"/>
      <c r="E1448" s="23"/>
      <c r="F1448" s="23"/>
      <c r="G1448" s="23"/>
      <c r="H1448" s="23"/>
      <c r="J1448" s="26"/>
    </row>
    <row r="1449">
      <c r="A1449" s="24"/>
      <c r="B1449" s="23"/>
      <c r="C1449" s="25"/>
      <c r="D1449" s="25"/>
      <c r="E1449" s="23"/>
      <c r="F1449" s="23"/>
      <c r="G1449" s="23"/>
      <c r="H1449" s="23"/>
      <c r="J1449" s="26"/>
    </row>
    <row r="1450">
      <c r="A1450" s="24"/>
      <c r="B1450" s="23"/>
      <c r="C1450" s="25"/>
      <c r="D1450" s="25"/>
      <c r="E1450" s="23"/>
      <c r="F1450" s="23"/>
      <c r="G1450" s="23"/>
      <c r="H1450" s="23"/>
      <c r="J1450" s="26"/>
    </row>
    <row r="1451">
      <c r="A1451" s="24"/>
      <c r="B1451" s="23"/>
      <c r="C1451" s="25"/>
      <c r="D1451" s="25"/>
      <c r="E1451" s="23"/>
      <c r="F1451" s="23"/>
      <c r="G1451" s="23"/>
      <c r="H1451" s="23"/>
      <c r="J1451" s="26"/>
    </row>
    <row r="1452">
      <c r="A1452" s="24"/>
      <c r="B1452" s="23"/>
      <c r="C1452" s="25"/>
      <c r="D1452" s="25"/>
      <c r="E1452" s="23"/>
      <c r="F1452" s="23"/>
      <c r="G1452" s="23"/>
      <c r="H1452" s="23"/>
      <c r="J1452" s="26"/>
    </row>
    <row r="1453">
      <c r="A1453" s="24"/>
      <c r="B1453" s="23"/>
      <c r="C1453" s="25"/>
      <c r="D1453" s="25"/>
      <c r="E1453" s="23"/>
      <c r="F1453" s="23"/>
      <c r="G1453" s="23"/>
      <c r="H1453" s="23"/>
      <c r="J1453" s="26"/>
    </row>
    <row r="1454">
      <c r="A1454" s="24"/>
      <c r="B1454" s="23"/>
      <c r="C1454" s="25"/>
      <c r="D1454" s="25"/>
      <c r="E1454" s="23"/>
      <c r="F1454" s="23"/>
      <c r="G1454" s="23"/>
      <c r="H1454" s="23"/>
      <c r="J1454" s="26"/>
    </row>
    <row r="1455">
      <c r="A1455" s="24"/>
      <c r="B1455" s="23"/>
      <c r="C1455" s="25"/>
      <c r="D1455" s="25"/>
      <c r="E1455" s="23"/>
      <c r="F1455" s="23"/>
      <c r="G1455" s="23"/>
      <c r="H1455" s="23"/>
      <c r="J1455" s="26"/>
    </row>
    <row r="1456">
      <c r="A1456" s="24"/>
      <c r="B1456" s="23"/>
      <c r="C1456" s="25"/>
      <c r="D1456" s="25"/>
      <c r="E1456" s="23"/>
      <c r="F1456" s="23"/>
      <c r="G1456" s="23"/>
      <c r="H1456" s="23"/>
      <c r="J1456" s="26"/>
    </row>
    <row r="1457">
      <c r="A1457" s="24"/>
      <c r="B1457" s="23"/>
      <c r="C1457" s="25"/>
      <c r="D1457" s="25"/>
      <c r="E1457" s="23"/>
      <c r="F1457" s="23"/>
      <c r="G1457" s="23"/>
      <c r="H1457" s="23"/>
      <c r="J1457" s="26"/>
    </row>
    <row r="1458">
      <c r="A1458" s="24"/>
      <c r="B1458" s="23"/>
      <c r="C1458" s="25"/>
      <c r="D1458" s="25"/>
      <c r="E1458" s="23"/>
      <c r="F1458" s="23"/>
      <c r="G1458" s="23"/>
      <c r="H1458" s="23"/>
      <c r="J1458" s="26"/>
    </row>
    <row r="1459">
      <c r="A1459" s="24"/>
      <c r="B1459" s="23"/>
      <c r="C1459" s="25"/>
      <c r="D1459" s="25"/>
      <c r="E1459" s="23"/>
      <c r="F1459" s="23"/>
      <c r="G1459" s="23"/>
      <c r="H1459" s="23"/>
      <c r="J1459" s="26"/>
    </row>
    <row r="1460">
      <c r="A1460" s="24"/>
      <c r="B1460" s="23"/>
      <c r="C1460" s="25"/>
      <c r="D1460" s="25"/>
      <c r="E1460" s="23"/>
      <c r="F1460" s="23"/>
      <c r="G1460" s="23"/>
      <c r="H1460" s="23"/>
      <c r="J1460" s="26"/>
    </row>
    <row r="1461">
      <c r="A1461" s="24"/>
      <c r="B1461" s="23"/>
      <c r="C1461" s="25"/>
      <c r="D1461" s="25"/>
      <c r="E1461" s="23"/>
      <c r="F1461" s="23"/>
      <c r="G1461" s="23"/>
      <c r="H1461" s="23"/>
      <c r="J1461" s="26"/>
    </row>
    <row r="1462">
      <c r="A1462" s="24"/>
      <c r="B1462" s="23"/>
      <c r="C1462" s="25"/>
      <c r="D1462" s="25"/>
      <c r="E1462" s="23"/>
      <c r="F1462" s="23"/>
      <c r="G1462" s="23"/>
      <c r="H1462" s="23"/>
      <c r="J1462" s="26"/>
    </row>
    <row r="1463">
      <c r="A1463" s="24"/>
      <c r="B1463" s="23"/>
      <c r="C1463" s="25"/>
      <c r="D1463" s="25"/>
      <c r="E1463" s="23"/>
      <c r="F1463" s="23"/>
      <c r="G1463" s="23"/>
      <c r="H1463" s="23"/>
      <c r="J1463" s="26"/>
    </row>
    <row r="1464">
      <c r="A1464" s="24"/>
      <c r="B1464" s="23"/>
      <c r="C1464" s="25"/>
      <c r="D1464" s="25"/>
      <c r="E1464" s="23"/>
      <c r="F1464" s="23"/>
      <c r="G1464" s="23"/>
      <c r="H1464" s="23"/>
      <c r="J1464" s="26"/>
    </row>
    <row r="1465">
      <c r="A1465" s="24"/>
      <c r="B1465" s="23"/>
      <c r="C1465" s="25"/>
      <c r="D1465" s="25"/>
      <c r="E1465" s="23"/>
      <c r="F1465" s="23"/>
      <c r="G1465" s="23"/>
      <c r="H1465" s="23"/>
      <c r="J1465" s="26"/>
    </row>
    <row r="1466">
      <c r="A1466" s="24"/>
      <c r="B1466" s="23"/>
      <c r="C1466" s="25"/>
      <c r="D1466" s="25"/>
      <c r="E1466" s="23"/>
      <c r="F1466" s="23"/>
      <c r="G1466" s="23"/>
      <c r="H1466" s="23"/>
      <c r="J1466" s="26"/>
    </row>
    <row r="1467">
      <c r="A1467" s="24"/>
      <c r="B1467" s="23"/>
      <c r="C1467" s="25"/>
      <c r="D1467" s="25"/>
      <c r="E1467" s="23"/>
      <c r="F1467" s="23"/>
      <c r="G1467" s="23"/>
      <c r="H1467" s="23"/>
      <c r="J1467" s="26"/>
    </row>
    <row r="1468">
      <c r="A1468" s="24"/>
      <c r="B1468" s="23"/>
      <c r="C1468" s="25"/>
      <c r="D1468" s="25"/>
      <c r="E1468" s="23"/>
      <c r="F1468" s="23"/>
      <c r="G1468" s="23"/>
      <c r="H1468" s="23"/>
      <c r="J1468" s="26"/>
    </row>
    <row r="1469">
      <c r="A1469" s="24"/>
      <c r="B1469" s="23"/>
      <c r="C1469" s="25"/>
      <c r="D1469" s="25"/>
      <c r="E1469" s="23"/>
      <c r="F1469" s="23"/>
      <c r="G1469" s="23"/>
      <c r="H1469" s="23"/>
      <c r="J1469" s="26"/>
    </row>
    <row r="1470">
      <c r="A1470" s="24"/>
      <c r="B1470" s="23"/>
      <c r="C1470" s="25"/>
      <c r="D1470" s="25"/>
      <c r="E1470" s="23"/>
      <c r="F1470" s="23"/>
      <c r="G1470" s="23"/>
      <c r="H1470" s="23"/>
      <c r="J1470" s="26"/>
    </row>
    <row r="1471">
      <c r="A1471" s="24"/>
      <c r="B1471" s="23"/>
      <c r="C1471" s="25"/>
      <c r="D1471" s="25"/>
      <c r="E1471" s="23"/>
      <c r="F1471" s="23"/>
      <c r="G1471" s="23"/>
      <c r="H1471" s="23"/>
      <c r="J1471" s="26"/>
    </row>
    <row r="1472">
      <c r="A1472" s="24"/>
      <c r="B1472" s="23"/>
      <c r="C1472" s="25"/>
      <c r="D1472" s="25"/>
      <c r="E1472" s="23"/>
      <c r="F1472" s="23"/>
      <c r="G1472" s="23"/>
      <c r="H1472" s="23"/>
      <c r="J1472" s="26"/>
    </row>
    <row r="1473">
      <c r="A1473" s="24"/>
      <c r="B1473" s="23"/>
      <c r="C1473" s="25"/>
      <c r="D1473" s="25"/>
      <c r="E1473" s="23"/>
      <c r="F1473" s="23"/>
      <c r="G1473" s="23"/>
      <c r="H1473" s="23"/>
      <c r="J1473" s="26"/>
    </row>
    <row r="1474">
      <c r="A1474" s="24"/>
      <c r="B1474" s="23"/>
      <c r="C1474" s="25"/>
      <c r="D1474" s="25"/>
      <c r="E1474" s="23"/>
      <c r="F1474" s="23"/>
      <c r="G1474" s="23"/>
      <c r="H1474" s="23"/>
      <c r="J1474" s="26"/>
    </row>
    <row r="1475">
      <c r="A1475" s="24"/>
      <c r="B1475" s="23"/>
      <c r="C1475" s="25"/>
      <c r="D1475" s="25"/>
      <c r="E1475" s="23"/>
      <c r="F1475" s="23"/>
      <c r="G1475" s="23"/>
      <c r="H1475" s="23"/>
      <c r="J1475" s="26"/>
    </row>
    <row r="1476">
      <c r="A1476" s="24"/>
      <c r="B1476" s="23"/>
      <c r="C1476" s="25"/>
      <c r="D1476" s="25"/>
      <c r="E1476" s="23"/>
      <c r="F1476" s="23"/>
      <c r="G1476" s="23"/>
      <c r="H1476" s="23"/>
      <c r="J1476" s="26"/>
    </row>
    <row r="1477">
      <c r="A1477" s="24"/>
      <c r="B1477" s="23"/>
      <c r="C1477" s="25"/>
      <c r="D1477" s="25"/>
      <c r="E1477" s="23"/>
      <c r="F1477" s="23"/>
      <c r="G1477" s="23"/>
      <c r="H1477" s="23"/>
      <c r="J1477" s="26"/>
    </row>
    <row r="1478">
      <c r="A1478" s="24"/>
      <c r="B1478" s="23"/>
      <c r="C1478" s="25"/>
      <c r="D1478" s="25"/>
      <c r="E1478" s="23"/>
      <c r="F1478" s="23"/>
      <c r="G1478" s="23"/>
      <c r="H1478" s="23"/>
      <c r="J1478" s="26"/>
    </row>
    <row r="1479">
      <c r="A1479" s="24"/>
      <c r="B1479" s="23"/>
      <c r="C1479" s="25"/>
      <c r="D1479" s="25"/>
      <c r="E1479" s="23"/>
      <c r="F1479" s="23"/>
      <c r="G1479" s="23"/>
      <c r="H1479" s="23"/>
      <c r="J1479" s="26"/>
    </row>
    <row r="1480">
      <c r="A1480" s="24"/>
      <c r="B1480" s="23"/>
      <c r="C1480" s="25"/>
      <c r="D1480" s="25"/>
      <c r="E1480" s="23"/>
      <c r="F1480" s="23"/>
      <c r="G1480" s="23"/>
      <c r="H1480" s="23"/>
      <c r="J1480" s="26"/>
    </row>
    <row r="1481">
      <c r="A1481" s="24"/>
      <c r="B1481" s="23"/>
      <c r="C1481" s="25"/>
      <c r="D1481" s="25"/>
      <c r="E1481" s="23"/>
      <c r="F1481" s="23"/>
      <c r="G1481" s="23"/>
      <c r="H1481" s="23"/>
      <c r="J1481" s="26"/>
    </row>
    <row r="1482">
      <c r="A1482" s="24"/>
      <c r="B1482" s="23"/>
      <c r="C1482" s="25"/>
      <c r="D1482" s="25"/>
      <c r="E1482" s="23"/>
      <c r="F1482" s="23"/>
      <c r="G1482" s="23"/>
      <c r="H1482" s="23"/>
      <c r="J1482" s="26"/>
    </row>
    <row r="1483">
      <c r="A1483" s="24"/>
      <c r="B1483" s="23"/>
      <c r="C1483" s="25"/>
      <c r="D1483" s="25"/>
      <c r="E1483" s="23"/>
      <c r="F1483" s="23"/>
      <c r="G1483" s="23"/>
      <c r="H1483" s="23"/>
      <c r="J1483" s="26"/>
    </row>
    <row r="1484">
      <c r="A1484" s="24"/>
      <c r="B1484" s="23"/>
      <c r="C1484" s="25"/>
      <c r="D1484" s="25"/>
      <c r="E1484" s="23"/>
      <c r="F1484" s="23"/>
      <c r="G1484" s="23"/>
      <c r="H1484" s="23"/>
      <c r="J1484" s="26"/>
    </row>
    <row r="1485">
      <c r="A1485" s="24"/>
      <c r="B1485" s="23"/>
      <c r="C1485" s="25"/>
      <c r="D1485" s="25"/>
      <c r="E1485" s="23"/>
      <c r="F1485" s="23"/>
      <c r="G1485" s="23"/>
      <c r="H1485" s="23"/>
      <c r="J1485" s="26"/>
    </row>
    <row r="1486">
      <c r="A1486" s="24"/>
      <c r="B1486" s="23"/>
      <c r="C1486" s="25"/>
      <c r="D1486" s="25"/>
      <c r="E1486" s="23"/>
      <c r="F1486" s="23"/>
      <c r="G1486" s="23"/>
      <c r="H1486" s="23"/>
      <c r="J1486" s="26"/>
    </row>
    <row r="1487">
      <c r="A1487" s="24"/>
      <c r="B1487" s="23"/>
      <c r="C1487" s="25"/>
      <c r="D1487" s="25"/>
      <c r="E1487" s="23"/>
      <c r="F1487" s="23"/>
      <c r="G1487" s="23"/>
      <c r="H1487" s="23"/>
      <c r="J1487" s="26"/>
    </row>
    <row r="1488">
      <c r="A1488" s="24"/>
      <c r="B1488" s="23"/>
      <c r="C1488" s="25"/>
      <c r="D1488" s="25"/>
      <c r="E1488" s="23"/>
      <c r="F1488" s="23"/>
      <c r="G1488" s="23"/>
      <c r="H1488" s="23"/>
      <c r="J1488" s="26"/>
    </row>
    <row r="1489">
      <c r="A1489" s="24"/>
      <c r="B1489" s="23"/>
      <c r="C1489" s="25"/>
      <c r="D1489" s="25"/>
      <c r="E1489" s="23"/>
      <c r="F1489" s="23"/>
      <c r="G1489" s="23"/>
      <c r="H1489" s="23"/>
      <c r="J1489" s="26"/>
    </row>
    <row r="1490">
      <c r="A1490" s="24"/>
      <c r="B1490" s="23"/>
      <c r="C1490" s="25"/>
      <c r="D1490" s="25"/>
      <c r="E1490" s="23"/>
      <c r="F1490" s="23"/>
      <c r="G1490" s="23"/>
      <c r="H1490" s="23"/>
      <c r="J1490" s="26"/>
    </row>
    <row r="1491">
      <c r="A1491" s="24"/>
      <c r="B1491" s="23"/>
      <c r="C1491" s="25"/>
      <c r="D1491" s="25"/>
      <c r="E1491" s="23"/>
      <c r="F1491" s="23"/>
      <c r="G1491" s="23"/>
      <c r="H1491" s="23"/>
      <c r="J1491" s="26"/>
    </row>
    <row r="1492">
      <c r="A1492" s="24"/>
      <c r="B1492" s="23"/>
      <c r="C1492" s="25"/>
      <c r="D1492" s="25"/>
      <c r="E1492" s="23"/>
      <c r="F1492" s="23"/>
      <c r="G1492" s="23"/>
      <c r="H1492" s="23"/>
      <c r="J1492" s="26"/>
    </row>
    <row r="1493">
      <c r="A1493" s="24"/>
      <c r="B1493" s="23"/>
      <c r="C1493" s="25"/>
      <c r="D1493" s="25"/>
      <c r="E1493" s="23"/>
      <c r="F1493" s="23"/>
      <c r="G1493" s="23"/>
      <c r="H1493" s="23"/>
      <c r="J1493" s="26"/>
    </row>
    <row r="1494">
      <c r="A1494" s="24"/>
      <c r="B1494" s="23"/>
      <c r="C1494" s="25"/>
      <c r="D1494" s="25"/>
      <c r="E1494" s="23"/>
      <c r="F1494" s="23"/>
      <c r="G1494" s="23"/>
      <c r="H1494" s="23"/>
      <c r="J1494" s="26"/>
    </row>
    <row r="1495">
      <c r="A1495" s="24"/>
      <c r="B1495" s="23"/>
      <c r="C1495" s="25"/>
      <c r="D1495" s="25"/>
      <c r="E1495" s="23"/>
      <c r="F1495" s="23"/>
      <c r="G1495" s="23"/>
      <c r="H1495" s="23"/>
      <c r="J1495" s="26"/>
    </row>
    <row r="1496">
      <c r="A1496" s="24"/>
      <c r="B1496" s="23"/>
      <c r="C1496" s="25"/>
      <c r="D1496" s="25"/>
      <c r="E1496" s="23"/>
      <c r="F1496" s="23"/>
      <c r="G1496" s="23"/>
      <c r="H1496" s="23"/>
      <c r="J1496" s="26"/>
    </row>
    <row r="1497">
      <c r="A1497" s="24"/>
      <c r="B1497" s="23"/>
      <c r="C1497" s="25"/>
      <c r="D1497" s="25"/>
      <c r="E1497" s="23"/>
      <c r="F1497" s="23"/>
      <c r="G1497" s="23"/>
      <c r="H1497" s="23"/>
      <c r="J1497" s="26"/>
    </row>
    <row r="1498">
      <c r="A1498" s="24"/>
      <c r="B1498" s="23"/>
      <c r="C1498" s="25"/>
      <c r="D1498" s="25"/>
      <c r="E1498" s="23"/>
      <c r="F1498" s="23"/>
      <c r="G1498" s="23"/>
      <c r="H1498" s="23"/>
      <c r="J1498" s="26"/>
    </row>
    <row r="1499">
      <c r="A1499" s="24"/>
      <c r="B1499" s="23"/>
      <c r="C1499" s="25"/>
      <c r="D1499" s="25"/>
      <c r="E1499" s="23"/>
      <c r="F1499" s="23"/>
      <c r="G1499" s="23"/>
      <c r="H1499" s="23"/>
      <c r="J1499" s="26"/>
    </row>
    <row r="1500">
      <c r="A1500" s="24"/>
      <c r="B1500" s="23"/>
      <c r="C1500" s="25"/>
      <c r="D1500" s="25"/>
      <c r="E1500" s="23"/>
      <c r="F1500" s="23"/>
      <c r="G1500" s="23"/>
      <c r="H1500" s="23"/>
      <c r="J1500" s="26"/>
    </row>
    <row r="1501">
      <c r="A1501" s="24"/>
      <c r="B1501" s="23"/>
      <c r="C1501" s="25"/>
      <c r="D1501" s="25"/>
      <c r="E1501" s="23"/>
      <c r="F1501" s="23"/>
      <c r="G1501" s="23"/>
      <c r="H1501" s="23"/>
      <c r="J1501" s="26"/>
    </row>
    <row r="1502">
      <c r="A1502" s="24"/>
      <c r="B1502" s="23"/>
      <c r="C1502" s="25"/>
      <c r="D1502" s="25"/>
      <c r="E1502" s="23"/>
      <c r="F1502" s="23"/>
      <c r="G1502" s="23"/>
      <c r="H1502" s="23"/>
      <c r="J1502" s="26"/>
    </row>
    <row r="1503">
      <c r="A1503" s="24"/>
      <c r="B1503" s="23"/>
      <c r="C1503" s="25"/>
      <c r="D1503" s="25"/>
      <c r="E1503" s="23"/>
      <c r="F1503" s="23"/>
      <c r="G1503" s="23"/>
      <c r="H1503" s="23"/>
      <c r="J1503" s="26"/>
    </row>
    <row r="1504">
      <c r="A1504" s="24"/>
      <c r="B1504" s="23"/>
      <c r="C1504" s="25"/>
      <c r="D1504" s="25"/>
      <c r="E1504" s="23"/>
      <c r="F1504" s="23"/>
      <c r="G1504" s="23"/>
      <c r="H1504" s="23"/>
      <c r="J1504" s="26"/>
    </row>
    <row r="1505">
      <c r="A1505" s="24"/>
      <c r="B1505" s="23"/>
      <c r="C1505" s="25"/>
      <c r="D1505" s="25"/>
      <c r="E1505" s="23"/>
      <c r="F1505" s="23"/>
      <c r="G1505" s="23"/>
      <c r="H1505" s="23"/>
      <c r="J1505" s="26"/>
    </row>
    <row r="1506">
      <c r="A1506" s="24"/>
      <c r="B1506" s="23"/>
      <c r="C1506" s="25"/>
      <c r="D1506" s="25"/>
      <c r="E1506" s="23"/>
      <c r="F1506" s="23"/>
      <c r="G1506" s="23"/>
      <c r="H1506" s="23"/>
      <c r="J1506" s="26"/>
    </row>
    <row r="1507">
      <c r="A1507" s="24"/>
      <c r="B1507" s="23"/>
      <c r="C1507" s="25"/>
      <c r="D1507" s="25"/>
      <c r="E1507" s="23"/>
      <c r="F1507" s="23"/>
      <c r="G1507" s="23"/>
      <c r="H1507" s="23"/>
      <c r="J1507" s="26"/>
    </row>
    <row r="1508">
      <c r="A1508" s="24"/>
      <c r="B1508" s="23"/>
      <c r="C1508" s="25"/>
      <c r="D1508" s="25"/>
      <c r="E1508" s="23"/>
      <c r="F1508" s="23"/>
      <c r="G1508" s="23"/>
      <c r="H1508" s="23"/>
      <c r="J1508" s="26"/>
    </row>
    <row r="1509">
      <c r="A1509" s="24"/>
      <c r="B1509" s="23"/>
      <c r="C1509" s="25"/>
      <c r="D1509" s="25"/>
      <c r="E1509" s="23"/>
      <c r="F1509" s="23"/>
      <c r="G1509" s="23"/>
      <c r="H1509" s="23"/>
      <c r="J1509" s="26"/>
    </row>
    <row r="1510">
      <c r="A1510" s="24"/>
      <c r="B1510" s="23"/>
      <c r="C1510" s="25"/>
      <c r="D1510" s="25"/>
      <c r="E1510" s="23"/>
      <c r="F1510" s="23"/>
      <c r="G1510" s="23"/>
      <c r="H1510" s="23"/>
      <c r="J1510" s="26"/>
    </row>
    <row r="1511">
      <c r="A1511" s="24"/>
      <c r="B1511" s="23"/>
      <c r="C1511" s="25"/>
      <c r="D1511" s="25"/>
      <c r="E1511" s="23"/>
      <c r="F1511" s="23"/>
      <c r="G1511" s="23"/>
      <c r="H1511" s="23"/>
      <c r="J1511" s="26"/>
    </row>
    <row r="1512">
      <c r="A1512" s="24"/>
      <c r="B1512" s="23"/>
      <c r="C1512" s="25"/>
      <c r="D1512" s="25"/>
      <c r="E1512" s="23"/>
      <c r="F1512" s="23"/>
      <c r="G1512" s="23"/>
      <c r="H1512" s="23"/>
      <c r="J1512" s="26"/>
    </row>
    <row r="1513">
      <c r="A1513" s="24"/>
      <c r="B1513" s="23"/>
      <c r="C1513" s="25"/>
      <c r="D1513" s="25"/>
      <c r="E1513" s="23"/>
      <c r="F1513" s="23"/>
      <c r="G1513" s="23"/>
      <c r="H1513" s="23"/>
      <c r="J1513" s="26"/>
    </row>
    <row r="1514">
      <c r="A1514" s="24"/>
      <c r="B1514" s="23"/>
      <c r="C1514" s="25"/>
      <c r="D1514" s="25"/>
      <c r="E1514" s="23"/>
      <c r="F1514" s="23"/>
      <c r="G1514" s="23"/>
      <c r="H1514" s="23"/>
      <c r="J1514" s="26"/>
    </row>
    <row r="1515">
      <c r="A1515" s="24"/>
      <c r="B1515" s="23"/>
      <c r="C1515" s="25"/>
      <c r="D1515" s="25"/>
      <c r="E1515" s="23"/>
      <c r="F1515" s="23"/>
      <c r="G1515" s="23"/>
      <c r="H1515" s="23"/>
      <c r="J1515" s="26"/>
    </row>
    <row r="1516">
      <c r="A1516" s="24"/>
      <c r="B1516" s="23"/>
      <c r="C1516" s="25"/>
      <c r="D1516" s="25"/>
      <c r="E1516" s="23"/>
      <c r="F1516" s="23"/>
      <c r="G1516" s="23"/>
      <c r="H1516" s="23"/>
      <c r="J1516" s="26"/>
    </row>
    <row r="1517">
      <c r="A1517" s="24"/>
      <c r="B1517" s="23"/>
      <c r="C1517" s="25"/>
      <c r="D1517" s="25"/>
      <c r="E1517" s="23"/>
      <c r="F1517" s="23"/>
      <c r="G1517" s="23"/>
      <c r="H1517" s="23"/>
      <c r="J1517" s="26"/>
    </row>
    <row r="1518">
      <c r="A1518" s="24"/>
      <c r="B1518" s="23"/>
      <c r="C1518" s="25"/>
      <c r="D1518" s="25"/>
      <c r="E1518" s="23"/>
      <c r="F1518" s="23"/>
      <c r="G1518" s="23"/>
      <c r="H1518" s="23"/>
      <c r="J1518" s="26"/>
    </row>
    <row r="1519">
      <c r="A1519" s="24"/>
      <c r="B1519" s="23"/>
      <c r="C1519" s="25"/>
      <c r="D1519" s="25"/>
      <c r="E1519" s="23"/>
      <c r="F1519" s="23"/>
      <c r="G1519" s="23"/>
      <c r="H1519" s="23"/>
      <c r="J1519" s="26"/>
    </row>
    <row r="1520">
      <c r="A1520" s="24"/>
      <c r="B1520" s="23"/>
      <c r="C1520" s="25"/>
      <c r="D1520" s="25"/>
      <c r="E1520" s="23"/>
      <c r="F1520" s="23"/>
      <c r="G1520" s="23"/>
      <c r="H1520" s="23"/>
      <c r="J1520" s="26"/>
    </row>
    <row r="1521">
      <c r="A1521" s="24"/>
      <c r="B1521" s="23"/>
      <c r="C1521" s="25"/>
      <c r="D1521" s="25"/>
      <c r="E1521" s="23"/>
      <c r="F1521" s="23"/>
      <c r="G1521" s="23"/>
      <c r="H1521" s="23"/>
      <c r="J1521" s="26"/>
    </row>
    <row r="1522">
      <c r="A1522" s="24"/>
      <c r="B1522" s="23"/>
      <c r="C1522" s="25"/>
      <c r="D1522" s="25"/>
      <c r="E1522" s="23"/>
      <c r="F1522" s="23"/>
      <c r="G1522" s="23"/>
      <c r="H1522" s="23"/>
      <c r="J1522" s="26"/>
    </row>
    <row r="1523">
      <c r="A1523" s="24"/>
      <c r="B1523" s="23"/>
      <c r="C1523" s="25"/>
      <c r="D1523" s="25"/>
      <c r="E1523" s="23"/>
      <c r="F1523" s="23"/>
      <c r="G1523" s="23"/>
      <c r="H1523" s="23"/>
      <c r="J1523" s="26"/>
    </row>
    <row r="1524">
      <c r="A1524" s="24"/>
      <c r="B1524" s="23"/>
      <c r="C1524" s="25"/>
      <c r="D1524" s="25"/>
      <c r="E1524" s="23"/>
      <c r="F1524" s="23"/>
      <c r="G1524" s="23"/>
      <c r="H1524" s="23"/>
      <c r="J1524" s="26"/>
    </row>
    <row r="1525">
      <c r="A1525" s="24"/>
      <c r="B1525" s="23"/>
      <c r="C1525" s="25"/>
      <c r="D1525" s="25"/>
      <c r="E1525" s="23"/>
      <c r="F1525" s="23"/>
      <c r="G1525" s="23"/>
      <c r="H1525" s="23"/>
      <c r="J1525" s="26"/>
    </row>
    <row r="1526">
      <c r="A1526" s="24"/>
      <c r="B1526" s="23"/>
      <c r="C1526" s="25"/>
      <c r="D1526" s="25"/>
      <c r="E1526" s="23"/>
      <c r="F1526" s="23"/>
      <c r="G1526" s="23"/>
      <c r="H1526" s="23"/>
      <c r="J1526" s="26"/>
    </row>
    <row r="1527">
      <c r="A1527" s="24"/>
      <c r="B1527" s="23"/>
      <c r="C1527" s="25"/>
      <c r="D1527" s="25"/>
      <c r="E1527" s="23"/>
      <c r="F1527" s="23"/>
      <c r="G1527" s="23"/>
      <c r="H1527" s="23"/>
      <c r="J1527" s="26"/>
    </row>
    <row r="1528">
      <c r="A1528" s="24"/>
      <c r="B1528" s="23"/>
      <c r="C1528" s="25"/>
      <c r="D1528" s="25"/>
      <c r="E1528" s="23"/>
      <c r="F1528" s="23"/>
      <c r="G1528" s="23"/>
      <c r="H1528" s="23"/>
      <c r="J1528" s="26"/>
    </row>
    <row r="1529">
      <c r="A1529" s="24"/>
      <c r="B1529" s="23"/>
      <c r="C1529" s="25"/>
      <c r="D1529" s="25"/>
      <c r="E1529" s="23"/>
      <c r="F1529" s="23"/>
      <c r="G1529" s="23"/>
      <c r="H1529" s="23"/>
      <c r="J1529" s="26"/>
    </row>
    <row r="1530">
      <c r="A1530" s="24"/>
      <c r="B1530" s="23"/>
      <c r="C1530" s="25"/>
      <c r="D1530" s="25"/>
      <c r="E1530" s="23"/>
      <c r="F1530" s="23"/>
      <c r="G1530" s="23"/>
      <c r="H1530" s="23"/>
      <c r="J1530" s="26"/>
    </row>
    <row r="1531">
      <c r="A1531" s="24"/>
      <c r="B1531" s="23"/>
      <c r="C1531" s="25"/>
      <c r="D1531" s="25"/>
      <c r="E1531" s="23"/>
      <c r="F1531" s="23"/>
      <c r="G1531" s="23"/>
      <c r="H1531" s="23"/>
      <c r="J1531" s="26"/>
    </row>
    <row r="1532">
      <c r="A1532" s="24"/>
      <c r="B1532" s="23"/>
      <c r="C1532" s="25"/>
      <c r="D1532" s="25"/>
      <c r="E1532" s="23"/>
      <c r="F1532" s="23"/>
      <c r="G1532" s="23"/>
      <c r="H1532" s="23"/>
      <c r="J1532" s="26"/>
    </row>
    <row r="1533">
      <c r="A1533" s="24"/>
      <c r="B1533" s="23"/>
      <c r="C1533" s="25"/>
      <c r="D1533" s="25"/>
      <c r="E1533" s="23"/>
      <c r="F1533" s="23"/>
      <c r="G1533" s="23"/>
      <c r="H1533" s="23"/>
      <c r="J1533" s="26"/>
    </row>
    <row r="1534">
      <c r="A1534" s="24"/>
      <c r="B1534" s="23"/>
      <c r="C1534" s="25"/>
      <c r="D1534" s="25"/>
      <c r="E1534" s="23"/>
      <c r="F1534" s="23"/>
      <c r="G1534" s="23"/>
      <c r="H1534" s="23"/>
      <c r="J1534" s="26"/>
    </row>
    <row r="1535">
      <c r="A1535" s="24"/>
      <c r="B1535" s="23"/>
      <c r="C1535" s="25"/>
      <c r="D1535" s="25"/>
      <c r="E1535" s="23"/>
      <c r="F1535" s="23"/>
      <c r="G1535" s="23"/>
      <c r="H1535" s="23"/>
      <c r="J1535" s="26"/>
    </row>
    <row r="1536">
      <c r="A1536" s="24"/>
      <c r="B1536" s="23"/>
      <c r="C1536" s="25"/>
      <c r="D1536" s="25"/>
      <c r="E1536" s="23"/>
      <c r="F1536" s="23"/>
      <c r="G1536" s="23"/>
      <c r="H1536" s="23"/>
      <c r="J1536" s="26"/>
    </row>
    <row r="1537">
      <c r="A1537" s="24"/>
      <c r="B1537" s="23"/>
      <c r="C1537" s="25"/>
      <c r="D1537" s="25"/>
      <c r="E1537" s="23"/>
      <c r="F1537" s="23"/>
      <c r="G1537" s="23"/>
      <c r="H1537" s="23"/>
      <c r="J1537" s="26"/>
    </row>
    <row r="1538">
      <c r="A1538" s="24"/>
      <c r="B1538" s="23"/>
      <c r="C1538" s="25"/>
      <c r="D1538" s="25"/>
      <c r="E1538" s="23"/>
      <c r="F1538" s="23"/>
      <c r="G1538" s="23"/>
      <c r="H1538" s="23"/>
      <c r="J1538" s="26"/>
    </row>
    <row r="1539">
      <c r="A1539" s="24"/>
      <c r="B1539" s="23"/>
      <c r="C1539" s="25"/>
      <c r="D1539" s="25"/>
      <c r="E1539" s="23"/>
      <c r="F1539" s="23"/>
      <c r="G1539" s="23"/>
      <c r="H1539" s="23"/>
      <c r="J1539" s="26"/>
    </row>
    <row r="1540">
      <c r="A1540" s="24"/>
      <c r="B1540" s="23"/>
      <c r="C1540" s="25"/>
      <c r="D1540" s="25"/>
      <c r="E1540" s="23"/>
      <c r="F1540" s="23"/>
      <c r="G1540" s="23"/>
      <c r="H1540" s="23"/>
      <c r="J1540" s="26"/>
    </row>
    <row r="1541">
      <c r="A1541" s="24"/>
      <c r="B1541" s="23"/>
      <c r="C1541" s="25"/>
      <c r="D1541" s="25"/>
      <c r="E1541" s="23"/>
      <c r="F1541" s="23"/>
      <c r="G1541" s="23"/>
      <c r="H1541" s="23"/>
      <c r="J1541" s="26"/>
    </row>
    <row r="1542">
      <c r="A1542" s="24"/>
      <c r="B1542" s="23"/>
      <c r="C1542" s="25"/>
      <c r="D1542" s="25"/>
      <c r="E1542" s="23"/>
      <c r="F1542" s="23"/>
      <c r="G1542" s="23"/>
      <c r="H1542" s="23"/>
      <c r="J1542" s="26"/>
    </row>
    <row r="1543">
      <c r="A1543" s="24"/>
      <c r="B1543" s="23"/>
      <c r="C1543" s="25"/>
      <c r="D1543" s="25"/>
      <c r="E1543" s="23"/>
      <c r="F1543" s="23"/>
      <c r="G1543" s="23"/>
      <c r="H1543" s="23"/>
      <c r="J1543" s="26"/>
    </row>
    <row r="1544">
      <c r="A1544" s="24"/>
      <c r="B1544" s="23"/>
      <c r="C1544" s="25"/>
      <c r="D1544" s="25"/>
      <c r="E1544" s="23"/>
      <c r="F1544" s="23"/>
      <c r="G1544" s="23"/>
      <c r="H1544" s="23"/>
      <c r="J1544" s="26"/>
    </row>
    <row r="1545">
      <c r="A1545" s="24"/>
      <c r="B1545" s="23"/>
      <c r="C1545" s="25"/>
      <c r="D1545" s="25"/>
      <c r="E1545" s="23"/>
      <c r="F1545" s="23"/>
      <c r="G1545" s="23"/>
      <c r="H1545" s="23"/>
      <c r="J1545" s="26"/>
    </row>
    <row r="1546">
      <c r="A1546" s="24"/>
      <c r="B1546" s="23"/>
      <c r="C1546" s="25"/>
      <c r="D1546" s="25"/>
      <c r="E1546" s="23"/>
      <c r="F1546" s="23"/>
      <c r="G1546" s="23"/>
      <c r="H1546" s="23"/>
      <c r="J1546" s="26"/>
    </row>
    <row r="1547">
      <c r="A1547" s="24"/>
      <c r="B1547" s="23"/>
      <c r="C1547" s="25"/>
      <c r="D1547" s="25"/>
      <c r="E1547" s="23"/>
      <c r="F1547" s="23"/>
      <c r="G1547" s="23"/>
      <c r="H1547" s="23"/>
      <c r="J1547" s="26"/>
    </row>
    <row r="1548">
      <c r="A1548" s="24"/>
      <c r="B1548" s="23"/>
      <c r="C1548" s="25"/>
      <c r="D1548" s="25"/>
      <c r="E1548" s="23"/>
      <c r="F1548" s="23"/>
      <c r="G1548" s="23"/>
      <c r="H1548" s="23"/>
      <c r="J1548" s="26"/>
    </row>
    <row r="1549">
      <c r="A1549" s="24"/>
      <c r="B1549" s="23"/>
      <c r="C1549" s="25"/>
      <c r="D1549" s="25"/>
      <c r="E1549" s="23"/>
      <c r="F1549" s="23"/>
      <c r="G1549" s="23"/>
      <c r="H1549" s="23"/>
      <c r="J1549" s="26"/>
    </row>
    <row r="1550">
      <c r="A1550" s="24"/>
      <c r="B1550" s="23"/>
      <c r="C1550" s="25"/>
      <c r="D1550" s="25"/>
      <c r="E1550" s="23"/>
      <c r="F1550" s="23"/>
      <c r="G1550" s="23"/>
      <c r="H1550" s="23"/>
      <c r="J1550" s="26"/>
    </row>
    <row r="1551">
      <c r="A1551" s="24"/>
      <c r="B1551" s="23"/>
      <c r="C1551" s="25"/>
      <c r="D1551" s="25"/>
      <c r="E1551" s="23"/>
      <c r="F1551" s="23"/>
      <c r="G1551" s="23"/>
      <c r="H1551" s="23"/>
      <c r="J1551" s="26"/>
    </row>
    <row r="1552">
      <c r="A1552" s="24"/>
      <c r="B1552" s="23"/>
      <c r="C1552" s="25"/>
      <c r="D1552" s="25"/>
      <c r="E1552" s="23"/>
      <c r="F1552" s="23"/>
      <c r="G1552" s="23"/>
      <c r="H1552" s="23"/>
      <c r="J1552" s="26"/>
    </row>
    <row r="1553">
      <c r="A1553" s="24"/>
      <c r="B1553" s="23"/>
      <c r="C1553" s="25"/>
      <c r="D1553" s="25"/>
      <c r="E1553" s="23"/>
      <c r="F1553" s="23"/>
      <c r="G1553" s="23"/>
      <c r="H1553" s="23"/>
      <c r="J1553" s="26"/>
    </row>
    <row r="1554">
      <c r="A1554" s="24"/>
      <c r="B1554" s="23"/>
      <c r="C1554" s="25"/>
      <c r="D1554" s="25"/>
      <c r="E1554" s="23"/>
      <c r="F1554" s="23"/>
      <c r="G1554" s="23"/>
      <c r="H1554" s="23"/>
      <c r="J1554" s="26"/>
    </row>
    <row r="1555">
      <c r="A1555" s="24"/>
      <c r="B1555" s="23"/>
      <c r="C1555" s="25"/>
      <c r="D1555" s="25"/>
      <c r="E1555" s="23"/>
      <c r="F1555" s="23"/>
      <c r="G1555" s="23"/>
      <c r="H1555" s="23"/>
      <c r="J1555" s="26"/>
    </row>
    <row r="1556">
      <c r="A1556" s="24"/>
      <c r="B1556" s="23"/>
      <c r="C1556" s="25"/>
      <c r="D1556" s="25"/>
      <c r="E1556" s="23"/>
      <c r="F1556" s="23"/>
      <c r="G1556" s="23"/>
      <c r="H1556" s="23"/>
      <c r="J1556" s="26"/>
    </row>
    <row r="1557">
      <c r="A1557" s="24"/>
      <c r="B1557" s="23"/>
      <c r="C1557" s="25"/>
      <c r="D1557" s="25"/>
      <c r="E1557" s="23"/>
      <c r="F1557" s="23"/>
      <c r="G1557" s="23"/>
      <c r="H1557" s="23"/>
      <c r="J1557" s="26"/>
    </row>
    <row r="1558">
      <c r="A1558" s="24"/>
      <c r="B1558" s="23"/>
      <c r="C1558" s="25"/>
      <c r="D1558" s="25"/>
      <c r="E1558" s="23"/>
      <c r="F1558" s="23"/>
      <c r="G1558" s="23"/>
      <c r="H1558" s="23"/>
      <c r="J1558" s="26"/>
    </row>
    <row r="1559">
      <c r="A1559" s="24"/>
      <c r="B1559" s="23"/>
      <c r="C1559" s="25"/>
      <c r="D1559" s="25"/>
      <c r="E1559" s="23"/>
      <c r="F1559" s="23"/>
      <c r="G1559" s="23"/>
      <c r="H1559" s="23"/>
      <c r="J1559" s="26"/>
    </row>
    <row r="1560">
      <c r="A1560" s="24"/>
      <c r="B1560" s="23"/>
      <c r="C1560" s="25"/>
      <c r="D1560" s="25"/>
      <c r="E1560" s="23"/>
      <c r="F1560" s="23"/>
      <c r="G1560" s="23"/>
      <c r="H1560" s="23"/>
      <c r="J1560" s="26"/>
    </row>
    <row r="1561">
      <c r="A1561" s="24"/>
      <c r="B1561" s="23"/>
      <c r="C1561" s="25"/>
      <c r="D1561" s="25"/>
      <c r="E1561" s="23"/>
      <c r="F1561" s="23"/>
      <c r="G1561" s="23"/>
      <c r="H1561" s="23"/>
      <c r="J1561" s="26"/>
    </row>
    <row r="1562">
      <c r="A1562" s="24"/>
      <c r="B1562" s="23"/>
      <c r="C1562" s="25"/>
      <c r="D1562" s="25"/>
      <c r="E1562" s="23"/>
      <c r="F1562" s="23"/>
      <c r="G1562" s="23"/>
      <c r="H1562" s="23"/>
      <c r="J1562" s="26"/>
    </row>
    <row r="1563">
      <c r="A1563" s="24"/>
      <c r="B1563" s="23"/>
      <c r="C1563" s="25"/>
      <c r="D1563" s="25"/>
      <c r="E1563" s="23"/>
      <c r="F1563" s="23"/>
      <c r="G1563" s="23"/>
      <c r="H1563" s="23"/>
      <c r="J1563" s="26"/>
    </row>
    <row r="1564">
      <c r="A1564" s="24"/>
      <c r="B1564" s="23"/>
      <c r="C1564" s="25"/>
      <c r="D1564" s="25"/>
      <c r="E1564" s="23"/>
      <c r="F1564" s="23"/>
      <c r="G1564" s="23"/>
      <c r="H1564" s="23"/>
      <c r="J1564" s="26"/>
    </row>
    <row r="1565">
      <c r="A1565" s="24"/>
      <c r="B1565" s="23"/>
      <c r="C1565" s="25"/>
      <c r="D1565" s="25"/>
      <c r="E1565" s="23"/>
      <c r="F1565" s="23"/>
      <c r="G1565" s="23"/>
      <c r="H1565" s="23"/>
      <c r="J1565" s="26"/>
    </row>
    <row r="1566">
      <c r="A1566" s="24"/>
      <c r="B1566" s="23"/>
      <c r="C1566" s="25"/>
      <c r="D1566" s="25"/>
      <c r="E1566" s="23"/>
      <c r="F1566" s="23"/>
      <c r="G1566" s="23"/>
      <c r="H1566" s="23"/>
      <c r="J1566" s="26"/>
    </row>
    <row r="1567">
      <c r="A1567" s="24"/>
      <c r="B1567" s="23"/>
      <c r="C1567" s="25"/>
      <c r="D1567" s="25"/>
      <c r="E1567" s="23"/>
      <c r="F1567" s="23"/>
      <c r="G1567" s="23"/>
      <c r="H1567" s="23"/>
      <c r="J1567" s="26"/>
    </row>
    <row r="1568">
      <c r="A1568" s="24"/>
      <c r="B1568" s="23"/>
      <c r="C1568" s="25"/>
      <c r="D1568" s="25"/>
      <c r="E1568" s="23"/>
      <c r="F1568" s="23"/>
      <c r="G1568" s="23"/>
      <c r="H1568" s="23"/>
      <c r="J1568" s="26"/>
    </row>
    <row r="1569">
      <c r="A1569" s="24"/>
      <c r="B1569" s="23"/>
      <c r="C1569" s="25"/>
      <c r="D1569" s="25"/>
      <c r="E1569" s="23"/>
      <c r="F1569" s="23"/>
      <c r="G1569" s="23"/>
      <c r="H1569" s="23"/>
      <c r="J1569" s="26"/>
    </row>
    <row r="1570">
      <c r="A1570" s="24"/>
      <c r="B1570" s="23"/>
      <c r="C1570" s="25"/>
      <c r="D1570" s="25"/>
      <c r="E1570" s="23"/>
      <c r="F1570" s="23"/>
      <c r="G1570" s="23"/>
      <c r="H1570" s="23"/>
      <c r="J1570" s="26"/>
    </row>
    <row r="1571">
      <c r="A1571" s="24"/>
      <c r="B1571" s="23"/>
      <c r="C1571" s="25"/>
      <c r="D1571" s="25"/>
      <c r="E1571" s="23"/>
      <c r="F1571" s="23"/>
      <c r="G1571" s="23"/>
      <c r="H1571" s="23"/>
      <c r="J1571" s="26"/>
    </row>
    <row r="1572">
      <c r="A1572" s="24"/>
      <c r="B1572" s="23"/>
      <c r="C1572" s="25"/>
      <c r="D1572" s="25"/>
      <c r="E1572" s="23"/>
      <c r="F1572" s="23"/>
      <c r="G1572" s="23"/>
      <c r="H1572" s="23"/>
      <c r="J1572" s="26"/>
    </row>
    <row r="1573">
      <c r="A1573" s="24"/>
      <c r="B1573" s="23"/>
      <c r="C1573" s="25"/>
      <c r="D1573" s="25"/>
      <c r="E1573" s="23"/>
      <c r="F1573" s="23"/>
      <c r="G1573" s="23"/>
      <c r="H1573" s="23"/>
      <c r="J1573" s="26"/>
    </row>
    <row r="1574">
      <c r="A1574" s="24"/>
      <c r="B1574" s="23"/>
      <c r="C1574" s="25"/>
      <c r="D1574" s="25"/>
      <c r="E1574" s="23"/>
      <c r="F1574" s="23"/>
      <c r="G1574" s="23"/>
      <c r="H1574" s="23"/>
      <c r="J1574" s="26"/>
    </row>
    <row r="1575">
      <c r="A1575" s="24"/>
      <c r="B1575" s="23"/>
      <c r="C1575" s="25"/>
      <c r="D1575" s="25"/>
      <c r="E1575" s="23"/>
      <c r="F1575" s="23"/>
      <c r="G1575" s="23"/>
      <c r="H1575" s="23"/>
      <c r="J1575" s="26"/>
    </row>
    <row r="1576">
      <c r="A1576" s="24"/>
      <c r="B1576" s="23"/>
      <c r="C1576" s="25"/>
      <c r="D1576" s="25"/>
      <c r="E1576" s="23"/>
      <c r="F1576" s="23"/>
      <c r="G1576" s="23"/>
      <c r="H1576" s="23"/>
      <c r="J1576" s="26"/>
    </row>
    <row r="1577">
      <c r="A1577" s="24"/>
      <c r="B1577" s="23"/>
      <c r="C1577" s="25"/>
      <c r="D1577" s="25"/>
      <c r="E1577" s="23"/>
      <c r="F1577" s="23"/>
      <c r="G1577" s="23"/>
      <c r="H1577" s="23"/>
      <c r="J1577" s="26"/>
    </row>
    <row r="1578">
      <c r="A1578" s="24"/>
      <c r="B1578" s="23"/>
      <c r="C1578" s="25"/>
      <c r="D1578" s="25"/>
      <c r="E1578" s="23"/>
      <c r="F1578" s="23"/>
      <c r="G1578" s="23"/>
      <c r="H1578" s="23"/>
      <c r="J1578" s="26"/>
    </row>
    <row r="1579">
      <c r="A1579" s="24"/>
      <c r="B1579" s="23"/>
      <c r="C1579" s="25"/>
      <c r="D1579" s="25"/>
      <c r="E1579" s="23"/>
      <c r="F1579" s="23"/>
      <c r="G1579" s="23"/>
      <c r="H1579" s="23"/>
      <c r="J1579" s="26"/>
    </row>
    <row r="1580">
      <c r="A1580" s="24"/>
      <c r="B1580" s="23"/>
      <c r="C1580" s="25"/>
      <c r="D1580" s="25"/>
      <c r="E1580" s="23"/>
      <c r="F1580" s="23"/>
      <c r="G1580" s="23"/>
      <c r="H1580" s="23"/>
      <c r="J1580" s="26"/>
    </row>
    <row r="1581">
      <c r="A1581" s="24"/>
      <c r="B1581" s="23"/>
      <c r="C1581" s="25"/>
      <c r="D1581" s="25"/>
      <c r="E1581" s="23"/>
      <c r="F1581" s="23"/>
      <c r="G1581" s="23"/>
      <c r="H1581" s="23"/>
      <c r="J1581" s="26"/>
    </row>
    <row r="1582">
      <c r="A1582" s="24"/>
      <c r="B1582" s="23"/>
      <c r="C1582" s="25"/>
      <c r="D1582" s="25"/>
      <c r="E1582" s="23"/>
      <c r="F1582" s="23"/>
      <c r="G1582" s="23"/>
      <c r="H1582" s="23"/>
      <c r="J1582" s="26"/>
    </row>
    <row r="1583">
      <c r="A1583" s="24"/>
      <c r="B1583" s="23"/>
      <c r="C1583" s="25"/>
      <c r="D1583" s="25"/>
      <c r="E1583" s="23"/>
      <c r="F1583" s="23"/>
      <c r="G1583" s="23"/>
      <c r="H1583" s="23"/>
      <c r="J1583" s="26"/>
    </row>
    <row r="1584">
      <c r="A1584" s="24"/>
      <c r="B1584" s="23"/>
      <c r="C1584" s="25"/>
      <c r="D1584" s="25"/>
      <c r="E1584" s="23"/>
      <c r="F1584" s="23"/>
      <c r="G1584" s="23"/>
      <c r="H1584" s="23"/>
      <c r="J1584" s="26"/>
    </row>
    <row r="1585">
      <c r="A1585" s="24"/>
      <c r="B1585" s="23"/>
      <c r="C1585" s="25"/>
      <c r="D1585" s="25"/>
      <c r="E1585" s="23"/>
      <c r="F1585" s="23"/>
      <c r="G1585" s="23"/>
      <c r="H1585" s="23"/>
      <c r="J1585" s="26"/>
    </row>
    <row r="1586">
      <c r="A1586" s="24"/>
      <c r="B1586" s="23"/>
      <c r="C1586" s="25"/>
      <c r="D1586" s="25"/>
      <c r="E1586" s="23"/>
      <c r="F1586" s="23"/>
      <c r="G1586" s="23"/>
      <c r="H1586" s="23"/>
      <c r="J1586" s="26"/>
    </row>
    <row r="1587">
      <c r="A1587" s="24"/>
      <c r="B1587" s="23"/>
      <c r="C1587" s="25"/>
      <c r="D1587" s="25"/>
      <c r="E1587" s="23"/>
      <c r="F1587" s="23"/>
      <c r="G1587" s="23"/>
      <c r="H1587" s="23"/>
      <c r="J1587" s="26"/>
    </row>
    <row r="1588">
      <c r="A1588" s="24"/>
      <c r="B1588" s="23"/>
      <c r="C1588" s="25"/>
      <c r="D1588" s="25"/>
      <c r="E1588" s="23"/>
      <c r="F1588" s="23"/>
      <c r="G1588" s="23"/>
      <c r="H1588" s="23"/>
      <c r="J1588" s="26"/>
    </row>
    <row r="1589">
      <c r="A1589" s="24"/>
      <c r="B1589" s="23"/>
      <c r="C1589" s="25"/>
      <c r="D1589" s="25"/>
      <c r="E1589" s="23"/>
      <c r="F1589" s="23"/>
      <c r="G1589" s="23"/>
      <c r="H1589" s="23"/>
      <c r="J1589" s="26"/>
    </row>
    <row r="1590">
      <c r="A1590" s="24"/>
      <c r="B1590" s="23"/>
      <c r="C1590" s="25"/>
      <c r="D1590" s="25"/>
      <c r="E1590" s="23"/>
      <c r="F1590" s="23"/>
      <c r="G1590" s="23"/>
      <c r="H1590" s="23"/>
      <c r="J1590" s="26"/>
    </row>
    <row r="1591">
      <c r="A1591" s="24"/>
      <c r="B1591" s="23"/>
      <c r="C1591" s="25"/>
      <c r="D1591" s="25"/>
      <c r="E1591" s="23"/>
      <c r="F1591" s="23"/>
      <c r="G1591" s="23"/>
      <c r="H1591" s="23"/>
      <c r="J1591" s="26"/>
    </row>
    <row r="1592">
      <c r="A1592" s="24"/>
      <c r="B1592" s="23"/>
      <c r="C1592" s="25"/>
      <c r="D1592" s="25"/>
      <c r="E1592" s="23"/>
      <c r="F1592" s="23"/>
      <c r="G1592" s="23"/>
      <c r="H1592" s="23"/>
      <c r="J1592" s="26"/>
    </row>
    <row r="1593">
      <c r="A1593" s="24"/>
      <c r="B1593" s="23"/>
      <c r="C1593" s="25"/>
      <c r="D1593" s="25"/>
      <c r="E1593" s="23"/>
      <c r="F1593" s="23"/>
      <c r="G1593" s="23"/>
      <c r="H1593" s="23"/>
      <c r="J1593" s="26"/>
    </row>
    <row r="1594">
      <c r="A1594" s="24"/>
      <c r="B1594" s="23"/>
      <c r="C1594" s="25"/>
      <c r="D1594" s="25"/>
      <c r="E1594" s="23"/>
      <c r="F1594" s="23"/>
      <c r="G1594" s="23"/>
      <c r="H1594" s="23"/>
      <c r="J1594" s="26"/>
    </row>
    <row r="1595">
      <c r="A1595" s="24"/>
      <c r="B1595" s="23"/>
      <c r="C1595" s="25"/>
      <c r="D1595" s="25"/>
      <c r="E1595" s="23"/>
      <c r="F1595" s="23"/>
      <c r="G1595" s="23"/>
      <c r="H1595" s="23"/>
      <c r="J1595" s="26"/>
    </row>
    <row r="1596">
      <c r="A1596" s="24"/>
      <c r="B1596" s="23"/>
      <c r="C1596" s="25"/>
      <c r="D1596" s="25"/>
      <c r="E1596" s="23"/>
      <c r="F1596" s="23"/>
      <c r="G1596" s="23"/>
      <c r="H1596" s="23"/>
      <c r="J1596" s="26"/>
    </row>
    <row r="1597">
      <c r="A1597" s="24"/>
      <c r="B1597" s="23"/>
      <c r="C1597" s="25"/>
      <c r="D1597" s="25"/>
      <c r="E1597" s="23"/>
      <c r="F1597" s="23"/>
      <c r="G1597" s="23"/>
      <c r="H1597" s="23"/>
      <c r="J1597" s="26"/>
    </row>
    <row r="1598">
      <c r="A1598" s="24"/>
      <c r="B1598" s="23"/>
      <c r="C1598" s="25"/>
      <c r="D1598" s="25"/>
      <c r="E1598" s="23"/>
      <c r="F1598" s="23"/>
      <c r="G1598" s="23"/>
      <c r="H1598" s="23"/>
      <c r="J1598" s="26"/>
    </row>
    <row r="1599">
      <c r="A1599" s="24"/>
      <c r="B1599" s="23"/>
      <c r="C1599" s="25"/>
      <c r="D1599" s="25"/>
      <c r="E1599" s="23"/>
      <c r="F1599" s="23"/>
      <c r="G1599" s="23"/>
      <c r="H1599" s="23"/>
      <c r="J1599" s="26"/>
    </row>
    <row r="1600">
      <c r="A1600" s="24"/>
      <c r="B1600" s="23"/>
      <c r="C1600" s="25"/>
      <c r="D1600" s="25"/>
      <c r="E1600" s="23"/>
      <c r="F1600" s="23"/>
      <c r="G1600" s="23"/>
      <c r="H1600" s="23"/>
      <c r="J1600" s="26"/>
    </row>
    <row r="1601">
      <c r="A1601" s="24"/>
      <c r="B1601" s="23"/>
      <c r="C1601" s="25"/>
      <c r="D1601" s="25"/>
      <c r="E1601" s="23"/>
      <c r="F1601" s="23"/>
      <c r="G1601" s="23"/>
      <c r="H1601" s="23"/>
      <c r="J1601" s="26"/>
    </row>
    <row r="1602">
      <c r="A1602" s="24"/>
      <c r="B1602" s="23"/>
      <c r="C1602" s="25"/>
      <c r="D1602" s="25"/>
      <c r="E1602" s="23"/>
      <c r="F1602" s="23"/>
      <c r="G1602" s="23"/>
      <c r="H1602" s="23"/>
      <c r="J1602" s="26"/>
    </row>
    <row r="1603">
      <c r="A1603" s="24"/>
      <c r="B1603" s="23"/>
      <c r="C1603" s="25"/>
      <c r="D1603" s="25"/>
      <c r="E1603" s="23"/>
      <c r="F1603" s="23"/>
      <c r="G1603" s="23"/>
      <c r="H1603" s="23"/>
      <c r="J1603" s="26"/>
    </row>
    <row r="1604">
      <c r="A1604" s="24"/>
      <c r="B1604" s="23"/>
      <c r="C1604" s="25"/>
      <c r="D1604" s="25"/>
      <c r="E1604" s="23"/>
      <c r="F1604" s="23"/>
      <c r="G1604" s="23"/>
      <c r="H1604" s="23"/>
      <c r="J1604" s="26"/>
    </row>
    <row r="1605">
      <c r="A1605" s="24"/>
      <c r="B1605" s="23"/>
      <c r="C1605" s="25"/>
      <c r="D1605" s="25"/>
      <c r="E1605" s="23"/>
      <c r="F1605" s="23"/>
      <c r="G1605" s="23"/>
      <c r="H1605" s="23"/>
      <c r="J1605" s="26"/>
    </row>
    <row r="1606">
      <c r="A1606" s="24"/>
      <c r="B1606" s="23"/>
      <c r="C1606" s="25"/>
      <c r="D1606" s="25"/>
      <c r="E1606" s="23"/>
      <c r="F1606" s="23"/>
      <c r="G1606" s="23"/>
      <c r="H1606" s="23"/>
      <c r="J1606" s="26"/>
    </row>
    <row r="1607">
      <c r="A1607" s="24"/>
      <c r="B1607" s="23"/>
      <c r="C1607" s="25"/>
      <c r="D1607" s="25"/>
      <c r="E1607" s="23"/>
      <c r="F1607" s="23"/>
      <c r="G1607" s="23"/>
      <c r="H1607" s="23"/>
      <c r="J1607" s="26"/>
    </row>
    <row r="1608">
      <c r="A1608" s="24"/>
      <c r="B1608" s="23"/>
      <c r="C1608" s="25"/>
      <c r="D1608" s="25"/>
      <c r="E1608" s="23"/>
      <c r="F1608" s="23"/>
      <c r="G1608" s="23"/>
      <c r="H1608" s="23"/>
      <c r="J1608" s="26"/>
    </row>
    <row r="1609">
      <c r="A1609" s="24"/>
      <c r="B1609" s="23"/>
      <c r="C1609" s="25"/>
      <c r="D1609" s="25"/>
      <c r="E1609" s="23"/>
      <c r="F1609" s="23"/>
      <c r="G1609" s="23"/>
      <c r="H1609" s="23"/>
      <c r="J1609" s="26"/>
    </row>
    <row r="1610">
      <c r="A1610" s="24"/>
      <c r="B1610" s="23"/>
      <c r="C1610" s="25"/>
      <c r="D1610" s="25"/>
      <c r="E1610" s="23"/>
      <c r="F1610" s="23"/>
      <c r="G1610" s="23"/>
      <c r="H1610" s="23"/>
      <c r="J1610" s="26"/>
    </row>
    <row r="1611">
      <c r="A1611" s="24"/>
      <c r="B1611" s="23"/>
      <c r="C1611" s="25"/>
      <c r="D1611" s="25"/>
      <c r="E1611" s="23"/>
      <c r="F1611" s="23"/>
      <c r="G1611" s="23"/>
      <c r="H1611" s="23"/>
      <c r="J1611" s="26"/>
    </row>
    <row r="1612">
      <c r="A1612" s="24"/>
      <c r="B1612" s="23"/>
      <c r="C1612" s="25"/>
      <c r="D1612" s="25"/>
      <c r="E1612" s="23"/>
      <c r="F1612" s="23"/>
      <c r="G1612" s="23"/>
      <c r="H1612" s="23"/>
      <c r="J1612" s="26"/>
    </row>
    <row r="1613">
      <c r="A1613" s="24"/>
      <c r="B1613" s="23"/>
      <c r="C1613" s="25"/>
      <c r="D1613" s="25"/>
      <c r="E1613" s="23"/>
      <c r="F1613" s="23"/>
      <c r="G1613" s="23"/>
      <c r="H1613" s="23"/>
      <c r="J1613" s="26"/>
    </row>
    <row r="1614">
      <c r="A1614" s="24"/>
      <c r="B1614" s="23"/>
      <c r="C1614" s="25"/>
      <c r="D1614" s="25"/>
      <c r="E1614" s="23"/>
      <c r="F1614" s="23"/>
      <c r="G1614" s="23"/>
      <c r="H1614" s="23"/>
      <c r="J1614" s="26"/>
    </row>
    <row r="1615">
      <c r="A1615" s="24"/>
      <c r="B1615" s="23"/>
      <c r="C1615" s="25"/>
      <c r="D1615" s="25"/>
      <c r="E1615" s="23"/>
      <c r="F1615" s="23"/>
      <c r="G1615" s="23"/>
      <c r="H1615" s="23"/>
      <c r="J1615" s="26"/>
    </row>
    <row r="1616">
      <c r="A1616" s="24"/>
      <c r="B1616" s="23"/>
      <c r="C1616" s="25"/>
      <c r="D1616" s="25"/>
      <c r="E1616" s="23"/>
      <c r="F1616" s="23"/>
      <c r="G1616" s="23"/>
      <c r="H1616" s="23"/>
      <c r="J1616" s="26"/>
    </row>
    <row r="1617">
      <c r="A1617" s="24"/>
      <c r="B1617" s="23"/>
      <c r="C1617" s="25"/>
      <c r="D1617" s="25"/>
      <c r="E1617" s="23"/>
      <c r="F1617" s="23"/>
      <c r="G1617" s="23"/>
      <c r="H1617" s="23"/>
      <c r="J1617" s="26"/>
    </row>
    <row r="1618">
      <c r="A1618" s="24"/>
      <c r="B1618" s="23"/>
      <c r="C1618" s="25"/>
      <c r="D1618" s="25"/>
      <c r="E1618" s="23"/>
      <c r="F1618" s="23"/>
      <c r="G1618" s="23"/>
      <c r="H1618" s="23"/>
      <c r="J1618" s="26"/>
    </row>
    <row r="1619">
      <c r="A1619" s="24"/>
      <c r="B1619" s="23"/>
      <c r="C1619" s="25"/>
      <c r="D1619" s="25"/>
      <c r="E1619" s="23"/>
      <c r="F1619" s="23"/>
      <c r="G1619" s="23"/>
      <c r="H1619" s="23"/>
      <c r="J1619" s="26"/>
    </row>
    <row r="1620">
      <c r="A1620" s="24"/>
      <c r="B1620" s="23"/>
      <c r="C1620" s="25"/>
      <c r="D1620" s="25"/>
      <c r="E1620" s="23"/>
      <c r="F1620" s="23"/>
      <c r="G1620" s="23"/>
      <c r="H1620" s="23"/>
      <c r="J1620" s="26"/>
    </row>
    <row r="1621">
      <c r="A1621" s="24"/>
      <c r="B1621" s="23"/>
      <c r="C1621" s="25"/>
      <c r="D1621" s="25"/>
      <c r="E1621" s="23"/>
      <c r="F1621" s="23"/>
      <c r="G1621" s="23"/>
      <c r="H1621" s="23"/>
      <c r="J1621" s="26"/>
    </row>
    <row r="1622">
      <c r="A1622" s="24"/>
      <c r="B1622" s="23"/>
      <c r="C1622" s="25"/>
      <c r="D1622" s="25"/>
      <c r="E1622" s="23"/>
      <c r="F1622" s="23"/>
      <c r="G1622" s="23"/>
      <c r="H1622" s="23"/>
      <c r="J1622" s="26"/>
    </row>
    <row r="1623">
      <c r="A1623" s="24"/>
      <c r="B1623" s="23"/>
      <c r="C1623" s="25"/>
      <c r="D1623" s="25"/>
      <c r="E1623" s="23"/>
      <c r="F1623" s="23"/>
      <c r="G1623" s="23"/>
      <c r="H1623" s="23"/>
      <c r="J1623" s="26"/>
    </row>
    <row r="1624">
      <c r="A1624" s="24"/>
      <c r="B1624" s="23"/>
      <c r="C1624" s="25"/>
      <c r="D1624" s="25"/>
      <c r="E1624" s="23"/>
      <c r="F1624" s="23"/>
      <c r="G1624" s="23"/>
      <c r="H1624" s="23"/>
      <c r="J1624" s="26"/>
    </row>
    <row r="1625">
      <c r="A1625" s="24"/>
      <c r="B1625" s="23"/>
      <c r="C1625" s="25"/>
      <c r="D1625" s="25"/>
      <c r="E1625" s="23"/>
      <c r="F1625" s="23"/>
      <c r="G1625" s="23"/>
      <c r="H1625" s="23"/>
      <c r="J1625" s="26"/>
    </row>
    <row r="1626">
      <c r="A1626" s="24"/>
      <c r="B1626" s="23"/>
      <c r="C1626" s="25"/>
      <c r="D1626" s="25"/>
      <c r="E1626" s="23"/>
      <c r="F1626" s="23"/>
      <c r="G1626" s="23"/>
      <c r="H1626" s="23"/>
      <c r="J1626" s="26"/>
    </row>
    <row r="1627">
      <c r="A1627" s="24"/>
      <c r="B1627" s="23"/>
      <c r="C1627" s="25"/>
      <c r="D1627" s="25"/>
      <c r="E1627" s="23"/>
      <c r="F1627" s="23"/>
      <c r="G1627" s="23"/>
      <c r="H1627" s="23"/>
      <c r="J1627" s="26"/>
    </row>
    <row r="1628">
      <c r="A1628" s="24"/>
      <c r="B1628" s="23"/>
      <c r="C1628" s="25"/>
      <c r="D1628" s="25"/>
      <c r="E1628" s="23"/>
      <c r="F1628" s="23"/>
      <c r="G1628" s="23"/>
      <c r="H1628" s="23"/>
      <c r="J1628" s="26"/>
    </row>
    <row r="1629">
      <c r="A1629" s="24"/>
      <c r="B1629" s="23"/>
      <c r="C1629" s="25"/>
      <c r="D1629" s="25"/>
      <c r="E1629" s="23"/>
      <c r="F1629" s="23"/>
      <c r="G1629" s="23"/>
      <c r="H1629" s="23"/>
      <c r="J1629" s="26"/>
    </row>
    <row r="1630">
      <c r="A1630" s="24"/>
      <c r="B1630" s="23"/>
      <c r="C1630" s="25"/>
      <c r="D1630" s="25"/>
      <c r="E1630" s="23"/>
      <c r="F1630" s="23"/>
      <c r="G1630" s="23"/>
      <c r="H1630" s="23"/>
      <c r="J1630" s="26"/>
    </row>
    <row r="1631">
      <c r="A1631" s="24"/>
      <c r="B1631" s="23"/>
      <c r="C1631" s="25"/>
      <c r="D1631" s="25"/>
      <c r="E1631" s="23"/>
      <c r="F1631" s="23"/>
      <c r="G1631" s="23"/>
      <c r="H1631" s="23"/>
      <c r="J1631" s="26"/>
    </row>
    <row r="1632">
      <c r="A1632" s="24"/>
      <c r="B1632" s="23"/>
      <c r="C1632" s="25"/>
      <c r="D1632" s="25"/>
      <c r="E1632" s="23"/>
      <c r="F1632" s="23"/>
      <c r="G1632" s="23"/>
      <c r="H1632" s="23"/>
      <c r="J1632" s="26"/>
    </row>
    <row r="1633">
      <c r="A1633" s="24"/>
      <c r="B1633" s="23"/>
      <c r="C1633" s="25"/>
      <c r="D1633" s="25"/>
      <c r="E1633" s="23"/>
      <c r="F1633" s="23"/>
      <c r="G1633" s="23"/>
      <c r="H1633" s="23"/>
      <c r="J1633" s="26"/>
    </row>
    <row r="1634">
      <c r="A1634" s="24"/>
      <c r="B1634" s="23"/>
      <c r="C1634" s="25"/>
      <c r="D1634" s="25"/>
      <c r="E1634" s="23"/>
      <c r="F1634" s="23"/>
      <c r="G1634" s="23"/>
      <c r="H1634" s="23"/>
      <c r="J1634" s="26"/>
    </row>
    <row r="1635">
      <c r="A1635" s="24"/>
      <c r="B1635" s="23"/>
      <c r="C1635" s="25"/>
      <c r="D1635" s="25"/>
      <c r="E1635" s="23"/>
      <c r="F1635" s="23"/>
      <c r="G1635" s="23"/>
      <c r="H1635" s="23"/>
      <c r="J1635" s="26"/>
    </row>
    <row r="1636">
      <c r="A1636" s="24"/>
      <c r="B1636" s="23"/>
      <c r="C1636" s="25"/>
      <c r="D1636" s="25"/>
      <c r="E1636" s="23"/>
      <c r="F1636" s="23"/>
      <c r="G1636" s="23"/>
      <c r="H1636" s="23"/>
      <c r="J1636" s="26"/>
    </row>
    <row r="1637">
      <c r="A1637" s="24"/>
      <c r="B1637" s="23"/>
      <c r="C1637" s="25"/>
      <c r="D1637" s="25"/>
      <c r="E1637" s="23"/>
      <c r="F1637" s="23"/>
      <c r="G1637" s="23"/>
      <c r="H1637" s="23"/>
      <c r="J1637" s="26"/>
    </row>
    <row r="1638">
      <c r="A1638" s="24"/>
      <c r="B1638" s="23"/>
      <c r="C1638" s="25"/>
      <c r="D1638" s="25"/>
      <c r="E1638" s="23"/>
      <c r="F1638" s="23"/>
      <c r="G1638" s="23"/>
      <c r="H1638" s="23"/>
      <c r="J1638" s="26"/>
    </row>
    <row r="1639">
      <c r="A1639" s="24"/>
      <c r="B1639" s="23"/>
      <c r="C1639" s="25"/>
      <c r="D1639" s="25"/>
      <c r="E1639" s="23"/>
      <c r="F1639" s="23"/>
      <c r="G1639" s="23"/>
      <c r="H1639" s="23"/>
      <c r="J1639" s="26"/>
    </row>
    <row r="1640">
      <c r="A1640" s="24"/>
      <c r="B1640" s="23"/>
      <c r="C1640" s="25"/>
      <c r="D1640" s="25"/>
      <c r="E1640" s="23"/>
      <c r="F1640" s="23"/>
      <c r="G1640" s="23"/>
      <c r="H1640" s="23"/>
      <c r="J1640" s="26"/>
    </row>
    <row r="1641">
      <c r="A1641" s="24"/>
      <c r="B1641" s="23"/>
      <c r="C1641" s="25"/>
      <c r="D1641" s="25"/>
      <c r="E1641" s="23"/>
      <c r="F1641" s="23"/>
      <c r="G1641" s="23"/>
      <c r="H1641" s="23"/>
      <c r="J1641" s="26"/>
    </row>
    <row r="1642">
      <c r="A1642" s="24"/>
      <c r="B1642" s="23"/>
      <c r="C1642" s="25"/>
      <c r="D1642" s="25"/>
      <c r="E1642" s="23"/>
      <c r="F1642" s="23"/>
      <c r="G1642" s="23"/>
      <c r="H1642" s="23"/>
      <c r="J1642" s="26"/>
    </row>
    <row r="1643">
      <c r="A1643" s="24"/>
      <c r="B1643" s="23"/>
      <c r="C1643" s="25"/>
      <c r="D1643" s="25"/>
      <c r="E1643" s="23"/>
      <c r="F1643" s="23"/>
      <c r="G1643" s="23"/>
      <c r="H1643" s="23"/>
      <c r="J1643" s="26"/>
    </row>
    <row r="1644">
      <c r="A1644" s="24"/>
      <c r="B1644" s="23"/>
      <c r="C1644" s="25"/>
      <c r="D1644" s="25"/>
      <c r="E1644" s="23"/>
      <c r="F1644" s="23"/>
      <c r="G1644" s="23"/>
      <c r="H1644" s="23"/>
      <c r="J1644" s="26"/>
    </row>
    <row r="1645">
      <c r="A1645" s="24"/>
      <c r="B1645" s="23"/>
      <c r="C1645" s="25"/>
      <c r="D1645" s="25"/>
      <c r="E1645" s="23"/>
      <c r="F1645" s="23"/>
      <c r="G1645" s="23"/>
      <c r="H1645" s="23"/>
      <c r="J1645" s="26"/>
    </row>
    <row r="1646">
      <c r="A1646" s="24"/>
      <c r="B1646" s="23"/>
      <c r="C1646" s="25"/>
      <c r="D1646" s="25"/>
      <c r="E1646" s="23"/>
      <c r="F1646" s="23"/>
      <c r="G1646" s="23"/>
      <c r="H1646" s="23"/>
      <c r="J1646" s="26"/>
    </row>
    <row r="1647">
      <c r="A1647" s="24"/>
      <c r="B1647" s="23"/>
      <c r="C1647" s="25"/>
      <c r="D1647" s="25"/>
      <c r="E1647" s="23"/>
      <c r="F1647" s="23"/>
      <c r="G1647" s="23"/>
      <c r="H1647" s="23"/>
      <c r="J1647" s="26"/>
    </row>
    <row r="1648">
      <c r="A1648" s="24"/>
      <c r="B1648" s="23"/>
      <c r="C1648" s="25"/>
      <c r="D1648" s="25"/>
      <c r="E1648" s="23"/>
      <c r="F1648" s="23"/>
      <c r="G1648" s="23"/>
      <c r="H1648" s="23"/>
      <c r="J1648" s="26"/>
    </row>
    <row r="1649">
      <c r="A1649" s="24"/>
      <c r="B1649" s="23"/>
      <c r="C1649" s="25"/>
      <c r="D1649" s="25"/>
      <c r="E1649" s="23"/>
      <c r="F1649" s="23"/>
      <c r="G1649" s="23"/>
      <c r="H1649" s="23"/>
      <c r="J1649" s="26"/>
    </row>
    <row r="1650">
      <c r="A1650" s="24"/>
      <c r="B1650" s="23"/>
      <c r="C1650" s="25"/>
      <c r="D1650" s="25"/>
      <c r="E1650" s="23"/>
      <c r="F1650" s="23"/>
      <c r="G1650" s="23"/>
      <c r="H1650" s="23"/>
      <c r="J1650" s="26"/>
    </row>
    <row r="1651">
      <c r="A1651" s="24"/>
      <c r="B1651" s="23"/>
      <c r="C1651" s="25"/>
      <c r="D1651" s="25"/>
      <c r="E1651" s="23"/>
      <c r="F1651" s="23"/>
      <c r="G1651" s="23"/>
      <c r="H1651" s="23"/>
      <c r="J1651" s="26"/>
    </row>
    <row r="1652">
      <c r="A1652" s="24"/>
      <c r="B1652" s="23"/>
      <c r="C1652" s="25"/>
      <c r="D1652" s="25"/>
      <c r="E1652" s="23"/>
      <c r="F1652" s="23"/>
      <c r="G1652" s="23"/>
      <c r="H1652" s="23"/>
      <c r="J1652" s="26"/>
    </row>
    <row r="1653">
      <c r="A1653" s="24"/>
      <c r="B1653" s="23"/>
      <c r="C1653" s="25"/>
      <c r="D1653" s="25"/>
      <c r="E1653" s="23"/>
      <c r="F1653" s="23"/>
      <c r="G1653" s="23"/>
      <c r="H1653" s="23"/>
      <c r="J1653" s="26"/>
    </row>
    <row r="1654">
      <c r="A1654" s="24"/>
      <c r="B1654" s="23"/>
      <c r="C1654" s="25"/>
      <c r="D1654" s="25"/>
      <c r="E1654" s="23"/>
      <c r="F1654" s="23"/>
      <c r="G1654" s="23"/>
      <c r="H1654" s="23"/>
      <c r="J1654" s="26"/>
    </row>
    <row r="1655">
      <c r="A1655" s="24"/>
      <c r="B1655" s="23"/>
      <c r="C1655" s="25"/>
      <c r="D1655" s="25"/>
      <c r="E1655" s="23"/>
      <c r="F1655" s="23"/>
      <c r="G1655" s="23"/>
      <c r="H1655" s="23"/>
      <c r="J1655" s="26"/>
    </row>
    <row r="1656">
      <c r="A1656" s="24"/>
      <c r="B1656" s="23"/>
      <c r="C1656" s="25"/>
      <c r="D1656" s="25"/>
      <c r="E1656" s="23"/>
      <c r="F1656" s="23"/>
      <c r="G1656" s="23"/>
      <c r="H1656" s="23"/>
      <c r="J1656" s="26"/>
    </row>
    <row r="1657">
      <c r="A1657" s="24"/>
      <c r="B1657" s="23"/>
      <c r="C1657" s="25"/>
      <c r="D1657" s="25"/>
      <c r="E1657" s="23"/>
      <c r="F1657" s="23"/>
      <c r="G1657" s="23"/>
      <c r="H1657" s="23"/>
      <c r="J1657" s="26"/>
    </row>
    <row r="1658">
      <c r="A1658" s="24"/>
      <c r="B1658" s="23"/>
      <c r="C1658" s="25"/>
      <c r="D1658" s="25"/>
      <c r="E1658" s="23"/>
      <c r="F1658" s="23"/>
      <c r="G1658" s="23"/>
      <c r="H1658" s="23"/>
      <c r="J1658" s="26"/>
    </row>
    <row r="1659">
      <c r="A1659" s="24"/>
      <c r="B1659" s="23"/>
      <c r="C1659" s="25"/>
      <c r="D1659" s="25"/>
      <c r="E1659" s="23"/>
      <c r="F1659" s="23"/>
      <c r="G1659" s="23"/>
      <c r="H1659" s="23"/>
      <c r="J1659" s="26"/>
    </row>
    <row r="1660">
      <c r="A1660" s="24"/>
      <c r="B1660" s="23"/>
      <c r="C1660" s="25"/>
      <c r="D1660" s="25"/>
      <c r="E1660" s="23"/>
      <c r="F1660" s="23"/>
      <c r="G1660" s="23"/>
      <c r="H1660" s="23"/>
      <c r="J1660" s="26"/>
    </row>
    <row r="1661">
      <c r="A1661" s="24"/>
      <c r="B1661" s="23"/>
      <c r="C1661" s="25"/>
      <c r="D1661" s="25"/>
      <c r="E1661" s="23"/>
      <c r="F1661" s="23"/>
      <c r="G1661" s="23"/>
      <c r="H1661" s="23"/>
      <c r="J1661" s="26"/>
    </row>
    <row r="1662">
      <c r="A1662" s="24"/>
      <c r="B1662" s="23"/>
      <c r="C1662" s="25"/>
      <c r="D1662" s="25"/>
      <c r="E1662" s="23"/>
      <c r="F1662" s="23"/>
      <c r="G1662" s="23"/>
      <c r="H1662" s="23"/>
      <c r="J1662" s="26"/>
    </row>
    <row r="1663">
      <c r="A1663" s="24"/>
      <c r="B1663" s="23"/>
      <c r="C1663" s="25"/>
      <c r="D1663" s="25"/>
      <c r="E1663" s="23"/>
      <c r="F1663" s="23"/>
      <c r="G1663" s="23"/>
      <c r="H1663" s="23"/>
      <c r="J1663" s="26"/>
    </row>
    <row r="1664">
      <c r="A1664" s="24"/>
      <c r="B1664" s="23"/>
      <c r="C1664" s="25"/>
      <c r="D1664" s="25"/>
      <c r="E1664" s="23"/>
      <c r="F1664" s="23"/>
      <c r="G1664" s="23"/>
      <c r="H1664" s="23"/>
      <c r="J1664" s="26"/>
    </row>
    <row r="1665">
      <c r="A1665" s="24"/>
      <c r="B1665" s="23"/>
      <c r="C1665" s="25"/>
      <c r="D1665" s="25"/>
      <c r="E1665" s="23"/>
      <c r="F1665" s="23"/>
      <c r="G1665" s="23"/>
      <c r="H1665" s="23"/>
      <c r="J1665" s="26"/>
    </row>
    <row r="1666">
      <c r="A1666" s="24"/>
      <c r="B1666" s="23"/>
      <c r="C1666" s="25"/>
      <c r="D1666" s="25"/>
      <c r="E1666" s="23"/>
      <c r="F1666" s="23"/>
      <c r="G1666" s="23"/>
      <c r="H1666" s="23"/>
      <c r="J1666" s="26"/>
    </row>
    <row r="1667">
      <c r="A1667" s="24"/>
      <c r="B1667" s="23"/>
      <c r="C1667" s="25"/>
      <c r="D1667" s="25"/>
      <c r="E1667" s="23"/>
      <c r="F1667" s="23"/>
      <c r="G1667" s="23"/>
      <c r="H1667" s="23"/>
      <c r="J1667" s="26"/>
    </row>
    <row r="1668">
      <c r="A1668" s="24"/>
      <c r="B1668" s="23"/>
      <c r="C1668" s="25"/>
      <c r="D1668" s="25"/>
      <c r="E1668" s="23"/>
      <c r="F1668" s="23"/>
      <c r="G1668" s="23"/>
      <c r="H1668" s="23"/>
      <c r="J1668" s="26"/>
    </row>
    <row r="1669">
      <c r="A1669" s="24"/>
      <c r="B1669" s="23"/>
      <c r="C1669" s="25"/>
      <c r="D1669" s="25"/>
      <c r="E1669" s="23"/>
      <c r="F1669" s="23"/>
      <c r="G1669" s="23"/>
      <c r="H1669" s="23"/>
      <c r="J1669" s="26"/>
    </row>
    <row r="1670">
      <c r="A1670" s="24"/>
      <c r="B1670" s="23"/>
      <c r="C1670" s="25"/>
      <c r="D1670" s="25"/>
      <c r="E1670" s="23"/>
      <c r="F1670" s="23"/>
      <c r="G1670" s="23"/>
      <c r="H1670" s="23"/>
      <c r="J1670" s="26"/>
    </row>
    <row r="1671">
      <c r="A1671" s="24"/>
      <c r="B1671" s="23"/>
      <c r="C1671" s="25"/>
      <c r="D1671" s="25"/>
      <c r="E1671" s="23"/>
      <c r="F1671" s="23"/>
      <c r="G1671" s="23"/>
      <c r="H1671" s="23"/>
      <c r="J1671" s="26"/>
    </row>
    <row r="1672">
      <c r="A1672" s="24"/>
      <c r="B1672" s="23"/>
      <c r="C1672" s="25"/>
      <c r="D1672" s="25"/>
      <c r="E1672" s="23"/>
      <c r="F1672" s="23"/>
      <c r="G1672" s="23"/>
      <c r="H1672" s="23"/>
      <c r="J1672" s="26"/>
    </row>
    <row r="1673">
      <c r="A1673" s="24"/>
      <c r="B1673" s="23"/>
      <c r="C1673" s="25"/>
      <c r="D1673" s="25"/>
      <c r="E1673" s="23"/>
      <c r="F1673" s="23"/>
      <c r="G1673" s="23"/>
      <c r="H1673" s="23"/>
      <c r="J1673" s="26"/>
    </row>
    <row r="1674">
      <c r="A1674" s="24"/>
      <c r="B1674" s="23"/>
      <c r="C1674" s="25"/>
      <c r="D1674" s="25"/>
      <c r="E1674" s="23"/>
      <c r="F1674" s="23"/>
      <c r="G1674" s="23"/>
      <c r="H1674" s="23"/>
      <c r="J1674" s="26"/>
    </row>
    <row r="1675">
      <c r="A1675" s="24"/>
      <c r="B1675" s="23"/>
      <c r="C1675" s="25"/>
      <c r="D1675" s="25"/>
      <c r="E1675" s="23"/>
      <c r="F1675" s="23"/>
      <c r="G1675" s="23"/>
      <c r="H1675" s="23"/>
      <c r="J1675" s="26"/>
    </row>
    <row r="1676">
      <c r="A1676" s="24"/>
      <c r="B1676" s="23"/>
      <c r="C1676" s="25"/>
      <c r="D1676" s="25"/>
      <c r="E1676" s="23"/>
      <c r="F1676" s="23"/>
      <c r="G1676" s="23"/>
      <c r="H1676" s="23"/>
      <c r="J1676" s="26"/>
    </row>
    <row r="1677">
      <c r="A1677" s="24"/>
      <c r="B1677" s="23"/>
      <c r="C1677" s="25"/>
      <c r="D1677" s="25"/>
      <c r="E1677" s="23"/>
      <c r="F1677" s="23"/>
      <c r="G1677" s="23"/>
      <c r="H1677" s="23"/>
      <c r="J1677" s="26"/>
    </row>
    <row r="1678">
      <c r="A1678" s="24"/>
      <c r="B1678" s="23"/>
      <c r="C1678" s="25"/>
      <c r="D1678" s="25"/>
      <c r="E1678" s="23"/>
      <c r="F1678" s="23"/>
      <c r="G1678" s="23"/>
      <c r="H1678" s="23"/>
      <c r="J1678" s="26"/>
    </row>
    <row r="1679">
      <c r="A1679" s="24"/>
      <c r="B1679" s="23"/>
      <c r="C1679" s="25"/>
      <c r="D1679" s="25"/>
      <c r="E1679" s="23"/>
      <c r="F1679" s="23"/>
      <c r="G1679" s="23"/>
      <c r="H1679" s="23"/>
      <c r="J1679" s="26"/>
    </row>
    <row r="1680">
      <c r="A1680" s="24"/>
      <c r="B1680" s="23"/>
      <c r="C1680" s="25"/>
      <c r="D1680" s="25"/>
      <c r="E1680" s="23"/>
      <c r="F1680" s="23"/>
      <c r="G1680" s="23"/>
      <c r="H1680" s="23"/>
      <c r="J1680" s="26"/>
    </row>
    <row r="1681">
      <c r="A1681" s="24"/>
      <c r="B1681" s="23"/>
      <c r="C1681" s="25"/>
      <c r="D1681" s="25"/>
      <c r="E1681" s="23"/>
      <c r="F1681" s="23"/>
      <c r="G1681" s="23"/>
      <c r="H1681" s="23"/>
      <c r="J1681" s="26"/>
    </row>
    <row r="1682">
      <c r="A1682" s="24"/>
      <c r="B1682" s="23"/>
      <c r="C1682" s="25"/>
      <c r="D1682" s="25"/>
      <c r="E1682" s="23"/>
      <c r="F1682" s="23"/>
      <c r="G1682" s="23"/>
      <c r="H1682" s="23"/>
      <c r="J1682" s="26"/>
    </row>
    <row r="1683">
      <c r="A1683" s="24"/>
      <c r="B1683" s="23"/>
      <c r="C1683" s="25"/>
      <c r="D1683" s="25"/>
      <c r="E1683" s="23"/>
      <c r="F1683" s="23"/>
      <c r="G1683" s="23"/>
      <c r="H1683" s="23"/>
      <c r="J1683" s="26"/>
    </row>
    <row r="1684">
      <c r="A1684" s="24"/>
      <c r="B1684" s="23"/>
      <c r="C1684" s="25"/>
      <c r="D1684" s="25"/>
      <c r="E1684" s="23"/>
      <c r="F1684" s="23"/>
      <c r="G1684" s="23"/>
      <c r="H1684" s="23"/>
      <c r="J1684" s="26"/>
    </row>
    <row r="1685">
      <c r="A1685" s="24"/>
      <c r="B1685" s="23"/>
      <c r="C1685" s="25"/>
      <c r="D1685" s="25"/>
      <c r="E1685" s="23"/>
      <c r="F1685" s="23"/>
      <c r="G1685" s="23"/>
      <c r="H1685" s="23"/>
      <c r="J1685" s="26"/>
    </row>
    <row r="1686">
      <c r="A1686" s="24"/>
      <c r="B1686" s="23"/>
      <c r="C1686" s="25"/>
      <c r="D1686" s="25"/>
      <c r="E1686" s="23"/>
      <c r="F1686" s="23"/>
      <c r="G1686" s="23"/>
      <c r="H1686" s="23"/>
      <c r="J1686" s="26"/>
    </row>
    <row r="1687">
      <c r="A1687" s="24"/>
      <c r="B1687" s="23"/>
      <c r="C1687" s="25"/>
      <c r="D1687" s="25"/>
      <c r="E1687" s="23"/>
      <c r="F1687" s="23"/>
      <c r="G1687" s="23"/>
      <c r="H1687" s="23"/>
      <c r="J1687" s="26"/>
    </row>
    <row r="1688">
      <c r="A1688" s="24"/>
      <c r="B1688" s="23"/>
      <c r="C1688" s="25"/>
      <c r="D1688" s="25"/>
      <c r="E1688" s="23"/>
      <c r="F1688" s="23"/>
      <c r="G1688" s="23"/>
      <c r="H1688" s="23"/>
      <c r="J1688" s="26"/>
    </row>
    <row r="1689">
      <c r="A1689" s="24"/>
      <c r="B1689" s="23"/>
      <c r="C1689" s="25"/>
      <c r="D1689" s="25"/>
      <c r="E1689" s="23"/>
      <c r="F1689" s="23"/>
      <c r="G1689" s="23"/>
      <c r="H1689" s="23"/>
      <c r="J1689" s="26"/>
    </row>
    <row r="1690">
      <c r="A1690" s="24"/>
      <c r="B1690" s="23"/>
      <c r="C1690" s="25"/>
      <c r="D1690" s="25"/>
      <c r="E1690" s="23"/>
      <c r="F1690" s="23"/>
      <c r="G1690" s="23"/>
      <c r="H1690" s="23"/>
      <c r="J1690" s="26"/>
    </row>
    <row r="1691">
      <c r="A1691" s="24"/>
      <c r="B1691" s="23"/>
      <c r="C1691" s="25"/>
      <c r="D1691" s="25"/>
      <c r="E1691" s="23"/>
      <c r="F1691" s="23"/>
      <c r="G1691" s="23"/>
      <c r="H1691" s="23"/>
      <c r="J1691" s="26"/>
    </row>
    <row r="1692">
      <c r="A1692" s="24"/>
      <c r="B1692" s="23"/>
      <c r="C1692" s="25"/>
      <c r="D1692" s="25"/>
      <c r="E1692" s="23"/>
      <c r="F1692" s="23"/>
      <c r="G1692" s="23"/>
      <c r="H1692" s="23"/>
      <c r="J1692" s="26"/>
    </row>
    <row r="1693">
      <c r="A1693" s="24"/>
      <c r="B1693" s="23"/>
      <c r="C1693" s="25"/>
      <c r="D1693" s="25"/>
      <c r="E1693" s="23"/>
      <c r="F1693" s="23"/>
      <c r="G1693" s="23"/>
      <c r="H1693" s="23"/>
      <c r="J1693" s="26"/>
    </row>
    <row r="1694">
      <c r="A1694" s="24"/>
      <c r="B1694" s="23"/>
      <c r="C1694" s="25"/>
      <c r="D1694" s="25"/>
      <c r="E1694" s="23"/>
      <c r="F1694" s="23"/>
      <c r="G1694" s="23"/>
      <c r="H1694" s="23"/>
      <c r="J1694" s="26"/>
    </row>
    <row r="1695">
      <c r="A1695" s="24"/>
      <c r="B1695" s="23"/>
      <c r="C1695" s="25"/>
      <c r="D1695" s="25"/>
      <c r="E1695" s="23"/>
      <c r="F1695" s="23"/>
      <c r="G1695" s="23"/>
      <c r="H1695" s="23"/>
      <c r="J1695" s="26"/>
    </row>
    <row r="1696">
      <c r="A1696" s="24"/>
      <c r="B1696" s="23"/>
      <c r="C1696" s="25"/>
      <c r="D1696" s="25"/>
      <c r="E1696" s="23"/>
      <c r="F1696" s="23"/>
      <c r="G1696" s="23"/>
      <c r="H1696" s="23"/>
      <c r="J1696" s="26"/>
    </row>
    <row r="1697">
      <c r="A1697" s="24"/>
      <c r="B1697" s="23"/>
      <c r="C1697" s="25"/>
      <c r="D1697" s="25"/>
      <c r="E1697" s="23"/>
      <c r="F1697" s="23"/>
      <c r="G1697" s="23"/>
      <c r="H1697" s="23"/>
      <c r="J1697" s="26"/>
    </row>
    <row r="1698">
      <c r="A1698" s="24"/>
      <c r="B1698" s="23"/>
      <c r="C1698" s="25"/>
      <c r="D1698" s="25"/>
      <c r="E1698" s="23"/>
      <c r="F1698" s="23"/>
      <c r="G1698" s="23"/>
      <c r="H1698" s="23"/>
      <c r="J1698" s="26"/>
    </row>
    <row r="1699">
      <c r="A1699" s="24"/>
      <c r="B1699" s="23"/>
      <c r="C1699" s="25"/>
      <c r="D1699" s="25"/>
      <c r="E1699" s="23"/>
      <c r="F1699" s="23"/>
      <c r="G1699" s="23"/>
      <c r="H1699" s="23"/>
      <c r="J1699" s="26"/>
    </row>
    <row r="1700">
      <c r="A1700" s="24"/>
      <c r="B1700" s="23"/>
      <c r="C1700" s="25"/>
      <c r="D1700" s="25"/>
      <c r="E1700" s="23"/>
      <c r="F1700" s="23"/>
      <c r="G1700" s="23"/>
      <c r="H1700" s="23"/>
      <c r="J1700" s="26"/>
    </row>
    <row r="1701">
      <c r="A1701" s="24"/>
      <c r="B1701" s="23"/>
      <c r="C1701" s="25"/>
      <c r="D1701" s="25"/>
      <c r="E1701" s="23"/>
      <c r="F1701" s="23"/>
      <c r="G1701" s="23"/>
      <c r="H1701" s="23"/>
      <c r="J1701" s="26"/>
    </row>
    <row r="1702">
      <c r="A1702" s="24"/>
      <c r="B1702" s="23"/>
      <c r="C1702" s="25"/>
      <c r="D1702" s="25"/>
      <c r="E1702" s="23"/>
      <c r="F1702" s="23"/>
      <c r="G1702" s="23"/>
      <c r="H1702" s="23"/>
      <c r="J1702" s="26"/>
    </row>
    <row r="1703">
      <c r="A1703" s="24"/>
      <c r="B1703" s="23"/>
      <c r="C1703" s="25"/>
      <c r="D1703" s="25"/>
      <c r="E1703" s="23"/>
      <c r="F1703" s="23"/>
      <c r="G1703" s="23"/>
      <c r="H1703" s="23"/>
      <c r="J1703" s="26"/>
    </row>
    <row r="1704">
      <c r="A1704" s="24"/>
      <c r="B1704" s="23"/>
      <c r="C1704" s="25"/>
      <c r="D1704" s="25"/>
      <c r="E1704" s="23"/>
      <c r="F1704" s="23"/>
      <c r="G1704" s="23"/>
      <c r="H1704" s="23"/>
      <c r="J1704" s="26"/>
    </row>
    <row r="1705">
      <c r="A1705" s="24"/>
      <c r="B1705" s="23"/>
      <c r="C1705" s="25"/>
      <c r="D1705" s="25"/>
      <c r="E1705" s="23"/>
      <c r="F1705" s="23"/>
      <c r="G1705" s="23"/>
      <c r="H1705" s="23"/>
      <c r="J1705" s="26"/>
    </row>
    <row r="1706">
      <c r="A1706" s="24"/>
      <c r="B1706" s="23"/>
      <c r="C1706" s="25"/>
      <c r="D1706" s="25"/>
      <c r="E1706" s="23"/>
      <c r="F1706" s="23"/>
      <c r="G1706" s="23"/>
      <c r="H1706" s="23"/>
      <c r="J1706" s="26"/>
    </row>
    <row r="1707">
      <c r="A1707" s="24"/>
      <c r="B1707" s="23"/>
      <c r="C1707" s="25"/>
      <c r="D1707" s="25"/>
      <c r="E1707" s="23"/>
      <c r="F1707" s="23"/>
      <c r="G1707" s="23"/>
      <c r="H1707" s="23"/>
      <c r="J1707" s="26"/>
    </row>
    <row r="1708">
      <c r="A1708" s="24"/>
      <c r="B1708" s="23"/>
      <c r="C1708" s="25"/>
      <c r="D1708" s="25"/>
      <c r="E1708" s="23"/>
      <c r="F1708" s="23"/>
      <c r="G1708" s="23"/>
      <c r="H1708" s="23"/>
      <c r="J1708" s="26"/>
    </row>
    <row r="1709">
      <c r="A1709" s="24"/>
      <c r="B1709" s="23"/>
      <c r="C1709" s="25"/>
      <c r="D1709" s="25"/>
      <c r="E1709" s="23"/>
      <c r="F1709" s="23"/>
      <c r="G1709" s="23"/>
      <c r="H1709" s="23"/>
      <c r="J1709" s="26"/>
    </row>
    <row r="1710">
      <c r="A1710" s="24"/>
      <c r="B1710" s="23"/>
      <c r="C1710" s="25"/>
      <c r="D1710" s="25"/>
      <c r="E1710" s="23"/>
      <c r="F1710" s="23"/>
      <c r="G1710" s="23"/>
      <c r="H1710" s="23"/>
      <c r="J1710" s="26"/>
    </row>
    <row r="1711">
      <c r="A1711" s="24"/>
      <c r="B1711" s="23"/>
      <c r="C1711" s="25"/>
      <c r="D1711" s="25"/>
      <c r="E1711" s="23"/>
      <c r="F1711" s="23"/>
      <c r="G1711" s="23"/>
      <c r="H1711" s="23"/>
      <c r="J1711" s="26"/>
    </row>
    <row r="1712">
      <c r="A1712" s="24"/>
      <c r="B1712" s="23"/>
      <c r="C1712" s="25"/>
      <c r="D1712" s="25"/>
      <c r="E1712" s="23"/>
      <c r="F1712" s="23"/>
      <c r="G1712" s="23"/>
      <c r="H1712" s="23"/>
      <c r="J1712" s="26"/>
    </row>
    <row r="1713">
      <c r="A1713" s="24"/>
      <c r="B1713" s="23"/>
      <c r="C1713" s="25"/>
      <c r="D1713" s="25"/>
      <c r="E1713" s="23"/>
      <c r="F1713" s="23"/>
      <c r="G1713" s="23"/>
      <c r="H1713" s="23"/>
      <c r="J1713" s="26"/>
    </row>
    <row r="1714">
      <c r="A1714" s="24"/>
      <c r="B1714" s="23"/>
      <c r="C1714" s="25"/>
      <c r="D1714" s="25"/>
      <c r="E1714" s="23"/>
      <c r="F1714" s="23"/>
      <c r="G1714" s="23"/>
      <c r="H1714" s="23"/>
      <c r="J1714" s="26"/>
    </row>
    <row r="1715">
      <c r="A1715" s="24"/>
      <c r="B1715" s="23"/>
      <c r="C1715" s="25"/>
      <c r="D1715" s="25"/>
      <c r="E1715" s="23"/>
      <c r="F1715" s="23"/>
      <c r="G1715" s="23"/>
      <c r="H1715" s="23"/>
      <c r="J1715" s="26"/>
    </row>
    <row r="1716">
      <c r="A1716" s="24"/>
      <c r="B1716" s="23"/>
      <c r="C1716" s="25"/>
      <c r="D1716" s="25"/>
      <c r="E1716" s="23"/>
      <c r="F1716" s="23"/>
      <c r="G1716" s="23"/>
      <c r="H1716" s="23"/>
      <c r="J1716" s="26"/>
    </row>
    <row r="1717">
      <c r="A1717" s="24"/>
      <c r="B1717" s="23"/>
      <c r="C1717" s="25"/>
      <c r="D1717" s="25"/>
      <c r="E1717" s="23"/>
      <c r="F1717" s="23"/>
      <c r="G1717" s="23"/>
      <c r="H1717" s="23"/>
      <c r="J1717" s="26"/>
    </row>
    <row r="1718">
      <c r="A1718" s="24"/>
      <c r="B1718" s="23"/>
      <c r="C1718" s="25"/>
      <c r="D1718" s="25"/>
      <c r="E1718" s="23"/>
      <c r="F1718" s="23"/>
      <c r="G1718" s="23"/>
      <c r="H1718" s="23"/>
      <c r="J1718" s="26"/>
    </row>
    <row r="1719">
      <c r="A1719" s="24"/>
      <c r="B1719" s="23"/>
      <c r="C1719" s="25"/>
      <c r="D1719" s="25"/>
      <c r="E1719" s="23"/>
      <c r="F1719" s="23"/>
      <c r="G1719" s="23"/>
      <c r="H1719" s="23"/>
      <c r="J1719" s="26"/>
    </row>
    <row r="1720">
      <c r="A1720" s="24"/>
      <c r="B1720" s="23"/>
      <c r="C1720" s="25"/>
      <c r="D1720" s="25"/>
      <c r="E1720" s="23"/>
      <c r="F1720" s="23"/>
      <c r="G1720" s="23"/>
      <c r="H1720" s="23"/>
      <c r="J1720" s="26"/>
    </row>
    <row r="1721">
      <c r="A1721" s="24"/>
      <c r="B1721" s="23"/>
      <c r="C1721" s="25"/>
      <c r="D1721" s="25"/>
      <c r="E1721" s="23"/>
      <c r="F1721" s="23"/>
      <c r="G1721" s="23"/>
      <c r="H1721" s="23"/>
      <c r="J1721" s="26"/>
    </row>
    <row r="1722">
      <c r="A1722" s="24"/>
      <c r="B1722" s="23"/>
      <c r="C1722" s="25"/>
      <c r="D1722" s="25"/>
      <c r="E1722" s="23"/>
      <c r="F1722" s="23"/>
      <c r="G1722" s="23"/>
      <c r="H1722" s="23"/>
      <c r="J1722" s="26"/>
    </row>
    <row r="1723">
      <c r="A1723" s="24"/>
      <c r="B1723" s="23"/>
      <c r="C1723" s="25"/>
      <c r="D1723" s="25"/>
      <c r="E1723" s="23"/>
      <c r="F1723" s="23"/>
      <c r="G1723" s="23"/>
      <c r="H1723" s="23"/>
      <c r="J1723" s="26"/>
    </row>
    <row r="1724">
      <c r="A1724" s="24"/>
      <c r="B1724" s="23"/>
      <c r="C1724" s="25"/>
      <c r="D1724" s="25"/>
      <c r="E1724" s="23"/>
      <c r="F1724" s="23"/>
      <c r="G1724" s="23"/>
      <c r="H1724" s="23"/>
      <c r="J1724" s="26"/>
    </row>
    <row r="1725">
      <c r="A1725" s="24"/>
      <c r="B1725" s="23"/>
      <c r="C1725" s="25"/>
      <c r="D1725" s="25"/>
      <c r="E1725" s="23"/>
      <c r="F1725" s="23"/>
      <c r="G1725" s="23"/>
      <c r="H1725" s="23"/>
      <c r="J1725" s="26"/>
    </row>
    <row r="1726">
      <c r="A1726" s="24"/>
      <c r="B1726" s="23"/>
      <c r="C1726" s="25"/>
      <c r="D1726" s="25"/>
      <c r="E1726" s="23"/>
      <c r="F1726" s="23"/>
      <c r="G1726" s="23"/>
      <c r="H1726" s="23"/>
      <c r="J1726" s="26"/>
    </row>
    <row r="1727">
      <c r="A1727" s="24"/>
      <c r="B1727" s="23"/>
      <c r="C1727" s="25"/>
      <c r="D1727" s="25"/>
      <c r="E1727" s="23"/>
      <c r="F1727" s="23"/>
      <c r="G1727" s="23"/>
      <c r="H1727" s="23"/>
      <c r="J1727" s="26"/>
    </row>
    <row r="1728">
      <c r="A1728" s="24"/>
      <c r="B1728" s="23"/>
      <c r="C1728" s="25"/>
      <c r="D1728" s="25"/>
      <c r="E1728" s="23"/>
      <c r="F1728" s="23"/>
      <c r="G1728" s="23"/>
      <c r="H1728" s="23"/>
      <c r="J1728" s="26"/>
    </row>
    <row r="1729">
      <c r="A1729" s="24"/>
      <c r="B1729" s="23"/>
      <c r="C1729" s="25"/>
      <c r="D1729" s="25"/>
      <c r="E1729" s="23"/>
      <c r="F1729" s="23"/>
      <c r="G1729" s="23"/>
      <c r="H1729" s="23"/>
      <c r="J1729" s="26"/>
    </row>
    <row r="1730">
      <c r="A1730" s="24"/>
      <c r="B1730" s="23"/>
      <c r="C1730" s="25"/>
      <c r="D1730" s="25"/>
      <c r="E1730" s="23"/>
      <c r="F1730" s="23"/>
      <c r="G1730" s="23"/>
      <c r="H1730" s="23"/>
      <c r="J1730" s="26"/>
    </row>
    <row r="1731">
      <c r="A1731" s="24"/>
      <c r="B1731" s="23"/>
      <c r="C1731" s="25"/>
      <c r="D1731" s="25"/>
      <c r="E1731" s="23"/>
      <c r="F1731" s="23"/>
      <c r="G1731" s="23"/>
      <c r="H1731" s="23"/>
      <c r="J1731" s="26"/>
    </row>
    <row r="1732">
      <c r="A1732" s="24"/>
      <c r="B1732" s="23"/>
      <c r="C1732" s="25"/>
      <c r="D1732" s="25"/>
      <c r="E1732" s="23"/>
      <c r="F1732" s="23"/>
      <c r="G1732" s="23"/>
      <c r="H1732" s="23"/>
      <c r="J1732" s="26"/>
    </row>
    <row r="1733">
      <c r="A1733" s="24"/>
      <c r="B1733" s="23"/>
      <c r="C1733" s="25"/>
      <c r="D1733" s="25"/>
      <c r="E1733" s="23"/>
      <c r="F1733" s="23"/>
      <c r="G1733" s="23"/>
      <c r="H1733" s="23"/>
      <c r="J1733" s="26"/>
    </row>
    <row r="1734">
      <c r="A1734" s="24"/>
      <c r="B1734" s="23"/>
      <c r="C1734" s="25"/>
      <c r="D1734" s="25"/>
      <c r="E1734" s="23"/>
      <c r="F1734" s="23"/>
      <c r="G1734" s="23"/>
      <c r="H1734" s="23"/>
      <c r="J1734" s="26"/>
    </row>
    <row r="1735">
      <c r="A1735" s="24"/>
      <c r="B1735" s="23"/>
      <c r="C1735" s="25"/>
      <c r="D1735" s="25"/>
      <c r="E1735" s="23"/>
      <c r="F1735" s="23"/>
      <c r="G1735" s="23"/>
      <c r="H1735" s="23"/>
      <c r="J1735" s="26"/>
    </row>
    <row r="1736">
      <c r="A1736" s="24"/>
      <c r="B1736" s="23"/>
      <c r="C1736" s="25"/>
      <c r="D1736" s="25"/>
      <c r="E1736" s="23"/>
      <c r="F1736" s="23"/>
      <c r="G1736" s="23"/>
      <c r="H1736" s="23"/>
      <c r="J1736" s="26"/>
    </row>
    <row r="1737">
      <c r="A1737" s="24"/>
      <c r="B1737" s="23"/>
      <c r="C1737" s="25"/>
      <c r="D1737" s="25"/>
      <c r="E1737" s="23"/>
      <c r="F1737" s="23"/>
      <c r="G1737" s="23"/>
      <c r="H1737" s="23"/>
      <c r="J1737" s="26"/>
    </row>
    <row r="1738">
      <c r="A1738" s="24"/>
      <c r="B1738" s="23"/>
      <c r="C1738" s="25"/>
      <c r="D1738" s="25"/>
      <c r="E1738" s="23"/>
      <c r="F1738" s="23"/>
      <c r="G1738" s="23"/>
      <c r="H1738" s="23"/>
      <c r="J1738" s="26"/>
    </row>
    <row r="1739">
      <c r="A1739" s="24"/>
      <c r="B1739" s="23"/>
      <c r="C1739" s="25"/>
      <c r="D1739" s="25"/>
      <c r="E1739" s="23"/>
      <c r="F1739" s="23"/>
      <c r="G1739" s="23"/>
      <c r="H1739" s="23"/>
      <c r="J1739" s="26"/>
    </row>
    <row r="1740">
      <c r="A1740" s="24"/>
      <c r="B1740" s="23"/>
      <c r="C1740" s="25"/>
      <c r="D1740" s="25"/>
      <c r="E1740" s="23"/>
      <c r="F1740" s="23"/>
      <c r="G1740" s="23"/>
      <c r="H1740" s="23"/>
      <c r="J1740" s="26"/>
    </row>
    <row r="1741">
      <c r="A1741" s="24"/>
      <c r="B1741" s="23"/>
      <c r="C1741" s="25"/>
      <c r="D1741" s="25"/>
      <c r="E1741" s="23"/>
      <c r="F1741" s="23"/>
      <c r="G1741" s="23"/>
      <c r="H1741" s="23"/>
      <c r="J1741" s="26"/>
    </row>
    <row r="1742">
      <c r="A1742" s="24"/>
      <c r="B1742" s="23"/>
      <c r="C1742" s="25"/>
      <c r="D1742" s="25"/>
      <c r="E1742" s="23"/>
      <c r="F1742" s="23"/>
      <c r="G1742" s="23"/>
      <c r="H1742" s="23"/>
      <c r="J1742" s="26"/>
    </row>
    <row r="1743">
      <c r="A1743" s="24"/>
      <c r="B1743" s="23"/>
      <c r="C1743" s="25"/>
      <c r="D1743" s="25"/>
      <c r="E1743" s="23"/>
      <c r="F1743" s="23"/>
      <c r="G1743" s="23"/>
      <c r="H1743" s="23"/>
      <c r="J1743" s="26"/>
    </row>
    <row r="1744">
      <c r="A1744" s="24"/>
      <c r="B1744" s="23"/>
      <c r="C1744" s="25"/>
      <c r="D1744" s="25"/>
      <c r="E1744" s="23"/>
      <c r="F1744" s="23"/>
      <c r="G1744" s="23"/>
      <c r="H1744" s="23"/>
      <c r="J1744" s="26"/>
    </row>
    <row r="1745">
      <c r="A1745" s="24"/>
      <c r="B1745" s="23"/>
      <c r="C1745" s="25"/>
      <c r="D1745" s="25"/>
      <c r="E1745" s="23"/>
      <c r="F1745" s="23"/>
      <c r="G1745" s="23"/>
      <c r="H1745" s="23"/>
      <c r="J1745" s="26"/>
    </row>
    <row r="1746">
      <c r="A1746" s="24"/>
      <c r="B1746" s="23"/>
      <c r="C1746" s="25"/>
      <c r="D1746" s="25"/>
      <c r="E1746" s="23"/>
      <c r="F1746" s="23"/>
      <c r="G1746" s="23"/>
      <c r="H1746" s="23"/>
      <c r="J1746" s="26"/>
    </row>
    <row r="1747">
      <c r="A1747" s="24"/>
      <c r="B1747" s="23"/>
      <c r="C1747" s="25"/>
      <c r="D1747" s="25"/>
      <c r="E1747" s="23"/>
      <c r="F1747" s="23"/>
      <c r="G1747" s="23"/>
      <c r="H1747" s="23"/>
      <c r="J1747" s="26"/>
    </row>
    <row r="1748">
      <c r="A1748" s="24"/>
      <c r="B1748" s="23"/>
      <c r="C1748" s="25"/>
      <c r="D1748" s="25"/>
      <c r="E1748" s="23"/>
      <c r="F1748" s="23"/>
      <c r="G1748" s="23"/>
      <c r="H1748" s="23"/>
      <c r="J1748" s="26"/>
    </row>
    <row r="1749">
      <c r="A1749" s="24"/>
      <c r="B1749" s="23"/>
      <c r="C1749" s="25"/>
      <c r="D1749" s="25"/>
      <c r="E1749" s="23"/>
      <c r="F1749" s="23"/>
      <c r="G1749" s="23"/>
      <c r="H1749" s="23"/>
      <c r="J1749" s="26"/>
    </row>
    <row r="1750">
      <c r="A1750" s="24"/>
      <c r="B1750" s="23"/>
      <c r="C1750" s="25"/>
      <c r="D1750" s="25"/>
      <c r="E1750" s="23"/>
      <c r="F1750" s="23"/>
      <c r="G1750" s="23"/>
      <c r="H1750" s="23"/>
      <c r="J1750" s="26"/>
    </row>
    <row r="1751">
      <c r="A1751" s="24"/>
      <c r="B1751" s="23"/>
      <c r="C1751" s="25"/>
      <c r="D1751" s="25"/>
      <c r="E1751" s="23"/>
      <c r="F1751" s="23"/>
      <c r="G1751" s="23"/>
      <c r="H1751" s="23"/>
      <c r="J1751" s="26"/>
    </row>
    <row r="1752">
      <c r="A1752" s="24"/>
      <c r="B1752" s="23"/>
      <c r="C1752" s="25"/>
      <c r="D1752" s="25"/>
      <c r="E1752" s="23"/>
      <c r="F1752" s="23"/>
      <c r="G1752" s="23"/>
      <c r="H1752" s="23"/>
      <c r="J1752" s="26"/>
    </row>
    <row r="1753">
      <c r="A1753" s="24"/>
      <c r="B1753" s="23"/>
      <c r="C1753" s="25"/>
      <c r="D1753" s="25"/>
      <c r="E1753" s="23"/>
      <c r="F1753" s="23"/>
      <c r="G1753" s="23"/>
      <c r="H1753" s="23"/>
      <c r="J1753" s="26"/>
    </row>
    <row r="1754">
      <c r="A1754" s="24"/>
      <c r="B1754" s="23"/>
      <c r="C1754" s="25"/>
      <c r="D1754" s="25"/>
      <c r="E1754" s="23"/>
      <c r="F1754" s="23"/>
      <c r="G1754" s="23"/>
      <c r="H1754" s="23"/>
      <c r="J1754" s="26"/>
    </row>
    <row r="1755">
      <c r="A1755" s="24"/>
      <c r="B1755" s="23"/>
      <c r="C1755" s="25"/>
      <c r="D1755" s="25"/>
      <c r="E1755" s="23"/>
      <c r="F1755" s="23"/>
      <c r="G1755" s="23"/>
      <c r="H1755" s="23"/>
      <c r="J1755" s="26"/>
    </row>
    <row r="1756">
      <c r="A1756" s="24"/>
      <c r="B1756" s="23"/>
      <c r="C1756" s="25"/>
      <c r="D1756" s="25"/>
      <c r="E1756" s="23"/>
      <c r="F1756" s="23"/>
      <c r="G1756" s="23"/>
      <c r="H1756" s="23"/>
      <c r="J1756" s="26"/>
    </row>
    <row r="1757">
      <c r="A1757" s="24"/>
      <c r="B1757" s="23"/>
      <c r="C1757" s="25"/>
      <c r="D1757" s="25"/>
      <c r="E1757" s="23"/>
      <c r="F1757" s="23"/>
      <c r="G1757" s="23"/>
      <c r="H1757" s="23"/>
      <c r="J1757" s="26"/>
    </row>
    <row r="1758">
      <c r="A1758" s="24"/>
      <c r="B1758" s="23"/>
      <c r="C1758" s="25"/>
      <c r="D1758" s="25"/>
      <c r="E1758" s="23"/>
      <c r="F1758" s="23"/>
      <c r="G1758" s="23"/>
      <c r="H1758" s="23"/>
      <c r="J1758" s="26"/>
    </row>
    <row r="1759">
      <c r="A1759" s="24"/>
      <c r="B1759" s="23"/>
      <c r="C1759" s="25"/>
      <c r="D1759" s="25"/>
      <c r="E1759" s="23"/>
      <c r="F1759" s="23"/>
      <c r="G1759" s="23"/>
      <c r="H1759" s="23"/>
      <c r="J1759" s="26"/>
    </row>
    <row r="1760">
      <c r="A1760" s="24"/>
      <c r="B1760" s="23"/>
      <c r="C1760" s="25"/>
      <c r="D1760" s="25"/>
      <c r="E1760" s="23"/>
      <c r="F1760" s="23"/>
      <c r="G1760" s="23"/>
      <c r="H1760" s="23"/>
      <c r="J1760" s="26"/>
    </row>
    <row r="1761">
      <c r="A1761" s="24"/>
      <c r="B1761" s="23"/>
      <c r="C1761" s="25"/>
      <c r="D1761" s="25"/>
      <c r="E1761" s="23"/>
      <c r="F1761" s="23"/>
      <c r="G1761" s="23"/>
      <c r="H1761" s="23"/>
      <c r="J1761" s="26"/>
    </row>
    <row r="1762">
      <c r="A1762" s="24"/>
      <c r="B1762" s="23"/>
      <c r="C1762" s="25"/>
      <c r="D1762" s="25"/>
      <c r="E1762" s="23"/>
      <c r="F1762" s="23"/>
      <c r="G1762" s="23"/>
      <c r="H1762" s="23"/>
      <c r="J1762" s="26"/>
    </row>
    <row r="1763">
      <c r="A1763" s="24"/>
      <c r="B1763" s="23"/>
      <c r="C1763" s="25"/>
      <c r="D1763" s="25"/>
      <c r="E1763" s="23"/>
      <c r="F1763" s="23"/>
      <c r="G1763" s="23"/>
      <c r="H1763" s="23"/>
      <c r="J1763" s="26"/>
    </row>
    <row r="1764">
      <c r="A1764" s="24"/>
      <c r="B1764" s="23"/>
      <c r="C1764" s="25"/>
      <c r="D1764" s="25"/>
      <c r="E1764" s="23"/>
      <c r="F1764" s="23"/>
      <c r="G1764" s="23"/>
      <c r="H1764" s="23"/>
      <c r="J1764" s="26"/>
    </row>
    <row r="1765">
      <c r="A1765" s="24"/>
      <c r="B1765" s="23"/>
      <c r="C1765" s="25"/>
      <c r="D1765" s="25"/>
      <c r="E1765" s="23"/>
      <c r="F1765" s="23"/>
      <c r="G1765" s="23"/>
      <c r="H1765" s="23"/>
      <c r="J1765" s="26"/>
    </row>
    <row r="1766">
      <c r="A1766" s="24"/>
      <c r="B1766" s="23"/>
      <c r="C1766" s="25"/>
      <c r="D1766" s="25"/>
      <c r="E1766" s="23"/>
      <c r="F1766" s="23"/>
      <c r="G1766" s="23"/>
      <c r="H1766" s="23"/>
      <c r="J1766" s="26"/>
    </row>
    <row r="1767">
      <c r="A1767" s="24"/>
      <c r="B1767" s="23"/>
      <c r="C1767" s="25"/>
      <c r="D1767" s="25"/>
      <c r="E1767" s="23"/>
      <c r="F1767" s="23"/>
      <c r="G1767" s="23"/>
      <c r="H1767" s="23"/>
      <c r="J1767" s="26"/>
    </row>
    <row r="1768">
      <c r="A1768" s="24"/>
      <c r="B1768" s="23"/>
      <c r="C1768" s="25"/>
      <c r="D1768" s="25"/>
      <c r="E1768" s="23"/>
      <c r="F1768" s="23"/>
      <c r="G1768" s="23"/>
      <c r="H1768" s="23"/>
      <c r="J1768" s="26"/>
    </row>
    <row r="1769">
      <c r="A1769" s="24"/>
      <c r="B1769" s="23"/>
      <c r="C1769" s="25"/>
      <c r="D1769" s="25"/>
      <c r="E1769" s="23"/>
      <c r="F1769" s="23"/>
      <c r="G1769" s="23"/>
      <c r="H1769" s="23"/>
      <c r="J1769" s="26"/>
    </row>
    <row r="1770">
      <c r="A1770" s="24"/>
      <c r="B1770" s="23"/>
      <c r="C1770" s="25"/>
      <c r="D1770" s="25"/>
      <c r="E1770" s="23"/>
      <c r="F1770" s="23"/>
      <c r="G1770" s="23"/>
      <c r="H1770" s="23"/>
      <c r="J1770" s="26"/>
    </row>
    <row r="1771">
      <c r="A1771" s="24"/>
      <c r="B1771" s="23"/>
      <c r="C1771" s="25"/>
      <c r="D1771" s="25"/>
      <c r="E1771" s="23"/>
      <c r="F1771" s="23"/>
      <c r="G1771" s="23"/>
      <c r="H1771" s="23"/>
      <c r="J1771" s="26"/>
    </row>
    <row r="1772">
      <c r="A1772" s="24"/>
      <c r="B1772" s="23"/>
      <c r="C1772" s="25"/>
      <c r="D1772" s="25"/>
      <c r="E1772" s="23"/>
      <c r="F1772" s="23"/>
      <c r="G1772" s="23"/>
      <c r="H1772" s="23"/>
      <c r="J1772" s="26"/>
    </row>
    <row r="1773">
      <c r="A1773" s="24"/>
      <c r="B1773" s="23"/>
      <c r="C1773" s="25"/>
      <c r="D1773" s="25"/>
      <c r="E1773" s="23"/>
      <c r="F1773" s="23"/>
      <c r="G1773" s="23"/>
      <c r="H1773" s="23"/>
      <c r="J1773" s="26"/>
    </row>
    <row r="1774">
      <c r="A1774" s="24"/>
      <c r="B1774" s="23"/>
      <c r="C1774" s="25"/>
      <c r="D1774" s="25"/>
      <c r="E1774" s="23"/>
      <c r="F1774" s="23"/>
      <c r="G1774" s="23"/>
      <c r="H1774" s="23"/>
      <c r="J1774" s="26"/>
    </row>
    <row r="1775">
      <c r="A1775" s="24"/>
      <c r="B1775" s="23"/>
      <c r="C1775" s="25"/>
      <c r="D1775" s="25"/>
      <c r="E1775" s="23"/>
      <c r="F1775" s="23"/>
      <c r="G1775" s="23"/>
      <c r="H1775" s="23"/>
      <c r="J1775" s="26"/>
    </row>
    <row r="1776">
      <c r="A1776" s="24"/>
      <c r="B1776" s="23"/>
      <c r="C1776" s="25"/>
      <c r="D1776" s="25"/>
      <c r="E1776" s="23"/>
      <c r="F1776" s="23"/>
      <c r="G1776" s="23"/>
      <c r="H1776" s="23"/>
      <c r="J1776" s="26"/>
    </row>
    <row r="1777">
      <c r="A1777" s="24"/>
      <c r="B1777" s="23"/>
      <c r="C1777" s="25"/>
      <c r="D1777" s="25"/>
      <c r="E1777" s="23"/>
      <c r="F1777" s="23"/>
      <c r="G1777" s="23"/>
      <c r="H1777" s="23"/>
      <c r="J1777" s="26"/>
    </row>
    <row r="1778">
      <c r="A1778" s="24"/>
      <c r="B1778" s="23"/>
      <c r="C1778" s="25"/>
      <c r="D1778" s="25"/>
      <c r="E1778" s="23"/>
      <c r="F1778" s="23"/>
      <c r="G1778" s="23"/>
      <c r="H1778" s="23"/>
      <c r="J1778" s="26"/>
    </row>
    <row r="1779">
      <c r="A1779" s="24"/>
      <c r="B1779" s="23"/>
      <c r="C1779" s="25"/>
      <c r="D1779" s="25"/>
      <c r="E1779" s="23"/>
      <c r="F1779" s="23"/>
      <c r="G1779" s="23"/>
      <c r="H1779" s="23"/>
      <c r="J1779" s="26"/>
    </row>
    <row r="1780">
      <c r="A1780" s="24"/>
      <c r="B1780" s="23"/>
      <c r="C1780" s="25"/>
      <c r="D1780" s="25"/>
      <c r="E1780" s="23"/>
      <c r="F1780" s="23"/>
      <c r="G1780" s="23"/>
      <c r="H1780" s="23"/>
      <c r="J1780" s="26"/>
    </row>
    <row r="1781">
      <c r="A1781" s="24"/>
      <c r="B1781" s="23"/>
      <c r="C1781" s="25"/>
      <c r="D1781" s="25"/>
      <c r="E1781" s="23"/>
      <c r="F1781" s="23"/>
      <c r="G1781" s="23"/>
      <c r="H1781" s="23"/>
      <c r="J1781" s="26"/>
    </row>
    <row r="1782">
      <c r="A1782" s="24"/>
      <c r="B1782" s="23"/>
      <c r="C1782" s="25"/>
      <c r="D1782" s="25"/>
      <c r="E1782" s="23"/>
      <c r="F1782" s="23"/>
      <c r="G1782" s="23"/>
      <c r="H1782" s="23"/>
      <c r="J1782" s="26"/>
    </row>
    <row r="1783">
      <c r="A1783" s="24"/>
      <c r="B1783" s="23"/>
      <c r="C1783" s="25"/>
      <c r="D1783" s="25"/>
      <c r="E1783" s="23"/>
      <c r="F1783" s="23"/>
      <c r="G1783" s="23"/>
      <c r="H1783" s="23"/>
      <c r="J1783" s="26"/>
    </row>
    <row r="1784">
      <c r="A1784" s="24"/>
      <c r="B1784" s="23"/>
      <c r="C1784" s="25"/>
      <c r="D1784" s="25"/>
      <c r="E1784" s="23"/>
      <c r="F1784" s="23"/>
      <c r="G1784" s="23"/>
      <c r="H1784" s="23"/>
      <c r="J1784" s="26"/>
    </row>
    <row r="1785">
      <c r="A1785" s="24"/>
      <c r="B1785" s="23"/>
      <c r="C1785" s="25"/>
      <c r="D1785" s="25"/>
      <c r="E1785" s="23"/>
      <c r="F1785" s="23"/>
      <c r="G1785" s="23"/>
      <c r="H1785" s="23"/>
      <c r="J1785" s="26"/>
    </row>
    <row r="1786">
      <c r="A1786" s="24"/>
      <c r="B1786" s="23"/>
      <c r="C1786" s="25"/>
      <c r="D1786" s="25"/>
      <c r="E1786" s="23"/>
      <c r="F1786" s="23"/>
      <c r="G1786" s="23"/>
      <c r="H1786" s="23"/>
      <c r="J1786" s="26"/>
    </row>
    <row r="1787">
      <c r="A1787" s="24"/>
      <c r="B1787" s="23"/>
      <c r="C1787" s="25"/>
      <c r="D1787" s="25"/>
      <c r="E1787" s="23"/>
      <c r="F1787" s="23"/>
      <c r="G1787" s="23"/>
      <c r="H1787" s="23"/>
      <c r="J1787" s="26"/>
    </row>
    <row r="1788">
      <c r="A1788" s="24"/>
      <c r="B1788" s="23"/>
      <c r="C1788" s="25"/>
      <c r="D1788" s="25"/>
      <c r="E1788" s="23"/>
      <c r="F1788" s="23"/>
      <c r="G1788" s="23"/>
      <c r="H1788" s="23"/>
      <c r="J1788" s="26"/>
    </row>
    <row r="1789">
      <c r="A1789" s="24"/>
      <c r="B1789" s="23"/>
      <c r="C1789" s="25"/>
      <c r="D1789" s="25"/>
      <c r="E1789" s="23"/>
      <c r="F1789" s="23"/>
      <c r="G1789" s="23"/>
      <c r="H1789" s="23"/>
      <c r="J1789" s="26"/>
    </row>
    <row r="1790">
      <c r="A1790" s="24"/>
      <c r="B1790" s="23"/>
      <c r="C1790" s="25"/>
      <c r="D1790" s="25"/>
      <c r="E1790" s="23"/>
      <c r="F1790" s="23"/>
      <c r="G1790" s="23"/>
      <c r="H1790" s="23"/>
      <c r="J1790" s="26"/>
    </row>
    <row r="1791">
      <c r="A1791" s="24"/>
      <c r="B1791" s="23"/>
      <c r="C1791" s="25"/>
      <c r="D1791" s="25"/>
      <c r="E1791" s="23"/>
      <c r="F1791" s="23"/>
      <c r="G1791" s="23"/>
      <c r="H1791" s="23"/>
      <c r="J1791" s="26"/>
    </row>
    <row r="1792">
      <c r="A1792" s="24"/>
      <c r="B1792" s="23"/>
      <c r="C1792" s="25"/>
      <c r="D1792" s="25"/>
      <c r="E1792" s="23"/>
      <c r="F1792" s="23"/>
      <c r="G1792" s="23"/>
      <c r="H1792" s="23"/>
      <c r="J1792" s="26"/>
    </row>
    <row r="1793">
      <c r="A1793" s="24"/>
      <c r="B1793" s="23"/>
      <c r="C1793" s="25"/>
      <c r="D1793" s="25"/>
      <c r="E1793" s="23"/>
      <c r="F1793" s="23"/>
      <c r="G1793" s="23"/>
      <c r="H1793" s="23"/>
      <c r="J1793" s="26"/>
    </row>
    <row r="1794">
      <c r="A1794" s="24"/>
      <c r="B1794" s="23"/>
      <c r="C1794" s="25"/>
      <c r="D1794" s="25"/>
      <c r="E1794" s="23"/>
      <c r="F1794" s="23"/>
      <c r="G1794" s="23"/>
      <c r="H1794" s="23"/>
      <c r="J1794" s="26"/>
    </row>
    <row r="1795">
      <c r="A1795" s="24"/>
      <c r="B1795" s="23"/>
      <c r="C1795" s="25"/>
      <c r="D1795" s="25"/>
      <c r="E1795" s="23"/>
      <c r="F1795" s="23"/>
      <c r="G1795" s="23"/>
      <c r="H1795" s="23"/>
      <c r="J1795" s="26"/>
    </row>
    <row r="1796">
      <c r="A1796" s="24"/>
      <c r="B1796" s="23"/>
      <c r="C1796" s="25"/>
      <c r="D1796" s="25"/>
      <c r="E1796" s="23"/>
      <c r="F1796" s="23"/>
      <c r="G1796" s="23"/>
      <c r="H1796" s="23"/>
      <c r="J1796" s="26"/>
    </row>
    <row r="1797">
      <c r="A1797" s="24"/>
      <c r="B1797" s="23"/>
      <c r="C1797" s="25"/>
      <c r="D1797" s="25"/>
      <c r="E1797" s="23"/>
      <c r="F1797" s="23"/>
      <c r="G1797" s="23"/>
      <c r="H1797" s="23"/>
      <c r="J1797" s="26"/>
    </row>
    <row r="1798">
      <c r="A1798" s="24"/>
      <c r="B1798" s="23"/>
      <c r="C1798" s="25"/>
      <c r="D1798" s="25"/>
      <c r="E1798" s="23"/>
      <c r="F1798" s="23"/>
      <c r="G1798" s="23"/>
      <c r="H1798" s="23"/>
      <c r="J1798" s="26"/>
    </row>
    <row r="1799">
      <c r="A1799" s="24"/>
      <c r="B1799" s="23"/>
      <c r="C1799" s="25"/>
      <c r="D1799" s="25"/>
      <c r="E1799" s="23"/>
      <c r="F1799" s="23"/>
      <c r="G1799" s="23"/>
      <c r="H1799" s="23"/>
      <c r="J1799" s="26"/>
    </row>
    <row r="1800">
      <c r="A1800" s="24"/>
      <c r="B1800" s="23"/>
      <c r="C1800" s="25"/>
      <c r="D1800" s="25"/>
      <c r="E1800" s="23"/>
      <c r="F1800" s="23"/>
      <c r="G1800" s="23"/>
      <c r="H1800" s="23"/>
      <c r="J1800" s="26"/>
    </row>
    <row r="1801">
      <c r="A1801" s="24"/>
      <c r="B1801" s="23"/>
      <c r="C1801" s="25"/>
      <c r="D1801" s="25"/>
      <c r="E1801" s="23"/>
      <c r="F1801" s="23"/>
      <c r="G1801" s="23"/>
      <c r="H1801" s="23"/>
      <c r="J1801" s="26"/>
    </row>
    <row r="1802">
      <c r="A1802" s="24"/>
      <c r="B1802" s="23"/>
      <c r="C1802" s="25"/>
      <c r="D1802" s="25"/>
      <c r="E1802" s="23"/>
      <c r="F1802" s="23"/>
      <c r="G1802" s="23"/>
      <c r="H1802" s="23"/>
      <c r="J1802" s="26"/>
    </row>
    <row r="1803">
      <c r="A1803" s="24"/>
      <c r="B1803" s="23"/>
      <c r="C1803" s="25"/>
      <c r="D1803" s="25"/>
      <c r="E1803" s="23"/>
      <c r="F1803" s="23"/>
      <c r="G1803" s="23"/>
      <c r="H1803" s="23"/>
      <c r="J1803" s="26"/>
    </row>
    <row r="1804">
      <c r="A1804" s="24"/>
      <c r="B1804" s="23"/>
      <c r="C1804" s="25"/>
      <c r="D1804" s="25"/>
      <c r="E1804" s="23"/>
      <c r="F1804" s="23"/>
      <c r="G1804" s="23"/>
      <c r="H1804" s="23"/>
      <c r="J1804" s="26"/>
    </row>
    <row r="1805">
      <c r="A1805" s="24"/>
      <c r="B1805" s="23"/>
      <c r="C1805" s="25"/>
      <c r="D1805" s="25"/>
      <c r="E1805" s="23"/>
      <c r="F1805" s="23"/>
      <c r="G1805" s="23"/>
      <c r="H1805" s="23"/>
      <c r="J1805" s="26"/>
    </row>
    <row r="1806">
      <c r="A1806" s="24"/>
      <c r="B1806" s="23"/>
      <c r="C1806" s="25"/>
      <c r="D1806" s="25"/>
      <c r="E1806" s="23"/>
      <c r="F1806" s="23"/>
      <c r="G1806" s="23"/>
      <c r="H1806" s="23"/>
      <c r="J1806" s="26"/>
    </row>
    <row r="1807">
      <c r="A1807" s="24"/>
      <c r="B1807" s="23"/>
      <c r="C1807" s="25"/>
      <c r="D1807" s="25"/>
      <c r="E1807" s="23"/>
      <c r="F1807" s="23"/>
      <c r="G1807" s="23"/>
      <c r="H1807" s="23"/>
      <c r="J1807" s="26"/>
    </row>
    <row r="1808">
      <c r="A1808" s="24"/>
      <c r="B1808" s="23"/>
      <c r="C1808" s="25"/>
      <c r="D1808" s="25"/>
      <c r="E1808" s="23"/>
      <c r="F1808" s="23"/>
      <c r="G1808" s="23"/>
      <c r="H1808" s="23"/>
      <c r="J1808" s="26"/>
    </row>
    <row r="1809">
      <c r="A1809" s="24"/>
      <c r="B1809" s="23"/>
      <c r="C1809" s="25"/>
      <c r="D1809" s="25"/>
      <c r="E1809" s="23"/>
      <c r="F1809" s="23"/>
      <c r="G1809" s="23"/>
      <c r="H1809" s="23"/>
      <c r="J1809" s="26"/>
    </row>
    <row r="1810">
      <c r="A1810" s="24"/>
      <c r="B1810" s="23"/>
      <c r="C1810" s="25"/>
      <c r="D1810" s="25"/>
      <c r="E1810" s="23"/>
      <c r="F1810" s="23"/>
      <c r="G1810" s="23"/>
      <c r="H1810" s="23"/>
      <c r="J1810" s="26"/>
    </row>
    <row r="1811">
      <c r="A1811" s="24"/>
      <c r="B1811" s="23"/>
      <c r="C1811" s="25"/>
      <c r="D1811" s="25"/>
      <c r="E1811" s="23"/>
      <c r="F1811" s="23"/>
      <c r="G1811" s="23"/>
      <c r="H1811" s="23"/>
      <c r="J1811" s="26"/>
    </row>
    <row r="1812">
      <c r="A1812" s="24"/>
      <c r="B1812" s="23"/>
      <c r="C1812" s="25"/>
      <c r="D1812" s="25"/>
      <c r="E1812" s="23"/>
      <c r="F1812" s="23"/>
      <c r="G1812" s="23"/>
      <c r="H1812" s="23"/>
      <c r="J1812" s="26"/>
    </row>
    <row r="1813">
      <c r="A1813" s="24"/>
      <c r="B1813" s="23"/>
      <c r="C1813" s="25"/>
      <c r="D1813" s="25"/>
      <c r="E1813" s="23"/>
      <c r="F1813" s="23"/>
      <c r="G1813" s="23"/>
      <c r="H1813" s="23"/>
      <c r="J1813" s="26"/>
    </row>
    <row r="1814">
      <c r="A1814" s="24"/>
      <c r="B1814" s="23"/>
      <c r="C1814" s="25"/>
      <c r="D1814" s="25"/>
      <c r="E1814" s="23"/>
      <c r="F1814" s="23"/>
      <c r="G1814" s="23"/>
      <c r="H1814" s="23"/>
      <c r="J1814" s="26"/>
    </row>
    <row r="1815">
      <c r="A1815" s="24"/>
      <c r="B1815" s="23"/>
      <c r="C1815" s="25"/>
      <c r="D1815" s="25"/>
      <c r="E1815" s="23"/>
      <c r="F1815" s="23"/>
      <c r="G1815" s="23"/>
      <c r="H1815" s="23"/>
      <c r="J1815" s="26"/>
    </row>
    <row r="1816">
      <c r="A1816" s="24"/>
      <c r="B1816" s="23"/>
      <c r="C1816" s="25"/>
      <c r="D1816" s="25"/>
      <c r="E1816" s="23"/>
      <c r="F1816" s="23"/>
      <c r="G1816" s="23"/>
      <c r="H1816" s="23"/>
      <c r="J1816" s="26"/>
    </row>
    <row r="1817">
      <c r="A1817" s="24"/>
      <c r="B1817" s="23"/>
      <c r="C1817" s="25"/>
      <c r="D1817" s="25"/>
      <c r="E1817" s="23"/>
      <c r="F1817" s="23"/>
      <c r="G1817" s="23"/>
      <c r="H1817" s="23"/>
      <c r="J1817" s="26"/>
    </row>
    <row r="1818">
      <c r="A1818" s="24"/>
      <c r="B1818" s="23"/>
      <c r="C1818" s="25"/>
      <c r="D1818" s="25"/>
      <c r="E1818" s="23"/>
      <c r="F1818" s="23"/>
      <c r="G1818" s="23"/>
      <c r="H1818" s="23"/>
      <c r="J1818" s="26"/>
    </row>
    <row r="1819">
      <c r="A1819" s="24"/>
      <c r="B1819" s="23"/>
      <c r="C1819" s="25"/>
      <c r="D1819" s="25"/>
      <c r="E1819" s="23"/>
      <c r="F1819" s="23"/>
      <c r="G1819" s="23"/>
      <c r="H1819" s="23"/>
      <c r="J1819" s="26"/>
    </row>
    <row r="1820">
      <c r="A1820" s="24"/>
      <c r="B1820" s="23"/>
      <c r="C1820" s="25"/>
      <c r="D1820" s="25"/>
      <c r="E1820" s="23"/>
      <c r="F1820" s="23"/>
      <c r="G1820" s="23"/>
      <c r="H1820" s="23"/>
      <c r="J1820" s="26"/>
    </row>
    <row r="1821">
      <c r="A1821" s="24"/>
      <c r="B1821" s="23"/>
      <c r="C1821" s="25"/>
      <c r="D1821" s="25"/>
      <c r="E1821" s="23"/>
      <c r="F1821" s="23"/>
      <c r="G1821" s="23"/>
      <c r="H1821" s="23"/>
      <c r="J1821" s="26"/>
    </row>
    <row r="1822">
      <c r="A1822" s="24"/>
      <c r="B1822" s="23"/>
      <c r="C1822" s="25"/>
      <c r="D1822" s="25"/>
      <c r="E1822" s="23"/>
      <c r="F1822" s="23"/>
      <c r="G1822" s="23"/>
      <c r="H1822" s="23"/>
      <c r="J1822" s="26"/>
    </row>
    <row r="1823">
      <c r="A1823" s="24"/>
      <c r="B1823" s="23"/>
      <c r="C1823" s="25"/>
      <c r="D1823" s="25"/>
      <c r="E1823" s="23"/>
      <c r="F1823" s="23"/>
      <c r="G1823" s="23"/>
      <c r="H1823" s="23"/>
      <c r="J1823" s="26"/>
    </row>
    <row r="1824">
      <c r="A1824" s="24"/>
      <c r="B1824" s="23"/>
      <c r="C1824" s="25"/>
      <c r="D1824" s="25"/>
      <c r="E1824" s="23"/>
      <c r="F1824" s="23"/>
      <c r="G1824" s="23"/>
      <c r="H1824" s="23"/>
      <c r="J1824" s="26"/>
    </row>
    <row r="1825">
      <c r="A1825" s="24"/>
      <c r="B1825" s="23"/>
      <c r="C1825" s="25"/>
      <c r="D1825" s="25"/>
      <c r="E1825" s="23"/>
      <c r="F1825" s="23"/>
      <c r="G1825" s="23"/>
      <c r="H1825" s="23"/>
      <c r="J1825" s="26"/>
    </row>
    <row r="1826">
      <c r="A1826" s="24"/>
      <c r="B1826" s="23"/>
      <c r="C1826" s="25"/>
      <c r="D1826" s="25"/>
      <c r="E1826" s="23"/>
      <c r="F1826" s="23"/>
      <c r="G1826" s="23"/>
      <c r="H1826" s="23"/>
      <c r="J1826" s="26"/>
    </row>
    <row r="1827">
      <c r="A1827" s="24"/>
      <c r="B1827" s="23"/>
      <c r="C1827" s="25"/>
      <c r="D1827" s="25"/>
      <c r="E1827" s="23"/>
      <c r="F1827" s="23"/>
      <c r="G1827" s="23"/>
      <c r="H1827" s="23"/>
      <c r="J1827" s="26"/>
    </row>
    <row r="1828">
      <c r="A1828" s="24"/>
      <c r="B1828" s="23"/>
      <c r="C1828" s="25"/>
      <c r="D1828" s="25"/>
      <c r="E1828" s="23"/>
      <c r="F1828" s="23"/>
      <c r="G1828" s="23"/>
      <c r="H1828" s="23"/>
      <c r="J1828" s="26"/>
    </row>
    <row r="1829">
      <c r="A1829" s="24"/>
      <c r="B1829" s="23"/>
      <c r="C1829" s="25"/>
      <c r="D1829" s="25"/>
      <c r="E1829" s="23"/>
      <c r="F1829" s="23"/>
      <c r="G1829" s="23"/>
      <c r="H1829" s="23"/>
      <c r="J1829" s="26"/>
    </row>
    <row r="1830">
      <c r="A1830" s="24"/>
      <c r="B1830" s="23"/>
      <c r="C1830" s="25"/>
      <c r="D1830" s="25"/>
      <c r="E1830" s="23"/>
      <c r="F1830" s="23"/>
      <c r="G1830" s="23"/>
      <c r="H1830" s="23"/>
      <c r="J1830" s="26"/>
    </row>
    <row r="1831">
      <c r="A1831" s="24"/>
      <c r="B1831" s="23"/>
      <c r="C1831" s="25"/>
      <c r="D1831" s="25"/>
      <c r="E1831" s="23"/>
      <c r="F1831" s="23"/>
      <c r="G1831" s="23"/>
      <c r="H1831" s="23"/>
      <c r="J1831" s="26"/>
    </row>
    <row r="1832">
      <c r="A1832" s="24"/>
      <c r="B1832" s="23"/>
      <c r="C1832" s="25"/>
      <c r="D1832" s="25"/>
      <c r="E1832" s="23"/>
      <c r="F1832" s="23"/>
      <c r="G1832" s="23"/>
      <c r="H1832" s="23"/>
      <c r="J1832" s="26"/>
    </row>
    <row r="1833">
      <c r="A1833" s="24"/>
      <c r="B1833" s="23"/>
      <c r="C1833" s="25"/>
      <c r="D1833" s="25"/>
      <c r="E1833" s="23"/>
      <c r="F1833" s="23"/>
      <c r="G1833" s="23"/>
      <c r="H1833" s="23"/>
      <c r="J1833" s="26"/>
    </row>
    <row r="1834">
      <c r="A1834" s="24"/>
      <c r="B1834" s="23"/>
      <c r="C1834" s="25"/>
      <c r="D1834" s="25"/>
      <c r="E1834" s="23"/>
      <c r="F1834" s="23"/>
      <c r="G1834" s="23"/>
      <c r="H1834" s="23"/>
      <c r="J1834" s="26"/>
    </row>
    <row r="1835">
      <c r="A1835" s="24"/>
      <c r="B1835" s="23"/>
      <c r="C1835" s="25"/>
      <c r="D1835" s="25"/>
      <c r="E1835" s="23"/>
      <c r="F1835" s="23"/>
      <c r="G1835" s="23"/>
      <c r="H1835" s="23"/>
      <c r="J1835" s="26"/>
    </row>
    <row r="1836">
      <c r="A1836" s="24"/>
      <c r="B1836" s="23"/>
      <c r="C1836" s="25"/>
      <c r="D1836" s="25"/>
      <c r="E1836" s="23"/>
      <c r="F1836" s="23"/>
      <c r="G1836" s="23"/>
      <c r="H1836" s="23"/>
      <c r="J1836" s="26"/>
    </row>
    <row r="1837">
      <c r="A1837" s="24"/>
      <c r="B1837" s="23"/>
      <c r="C1837" s="25"/>
      <c r="D1837" s="25"/>
      <c r="E1837" s="23"/>
      <c r="F1837" s="23"/>
      <c r="G1837" s="23"/>
      <c r="H1837" s="23"/>
      <c r="J1837" s="26"/>
    </row>
    <row r="1838">
      <c r="A1838" s="24"/>
      <c r="B1838" s="23"/>
      <c r="C1838" s="25"/>
      <c r="D1838" s="25"/>
      <c r="E1838" s="23"/>
      <c r="F1838" s="23"/>
      <c r="G1838" s="23"/>
      <c r="H1838" s="23"/>
      <c r="J1838" s="26"/>
    </row>
    <row r="1839">
      <c r="A1839" s="24"/>
      <c r="B1839" s="23"/>
      <c r="C1839" s="25"/>
      <c r="D1839" s="25"/>
      <c r="E1839" s="23"/>
      <c r="F1839" s="23"/>
      <c r="G1839" s="23"/>
      <c r="H1839" s="23"/>
      <c r="J1839" s="26"/>
    </row>
    <row r="1840">
      <c r="A1840" s="24"/>
      <c r="B1840" s="23"/>
      <c r="C1840" s="25"/>
      <c r="D1840" s="25"/>
      <c r="E1840" s="23"/>
      <c r="F1840" s="23"/>
      <c r="G1840" s="23"/>
      <c r="H1840" s="23"/>
      <c r="J1840" s="26"/>
    </row>
    <row r="1841">
      <c r="A1841" s="24"/>
      <c r="B1841" s="23"/>
      <c r="C1841" s="25"/>
      <c r="D1841" s="25"/>
      <c r="E1841" s="23"/>
      <c r="F1841" s="23"/>
      <c r="G1841" s="23"/>
      <c r="H1841" s="23"/>
      <c r="J1841" s="26"/>
    </row>
    <row r="1842">
      <c r="A1842" s="24"/>
      <c r="B1842" s="23"/>
      <c r="C1842" s="25"/>
      <c r="D1842" s="25"/>
      <c r="E1842" s="23"/>
      <c r="F1842" s="23"/>
      <c r="G1842" s="23"/>
      <c r="H1842" s="23"/>
      <c r="J1842" s="26"/>
    </row>
    <row r="1843">
      <c r="A1843" s="24"/>
      <c r="B1843" s="23"/>
      <c r="C1843" s="25"/>
      <c r="D1843" s="25"/>
      <c r="E1843" s="23"/>
      <c r="F1843" s="23"/>
      <c r="G1843" s="23"/>
      <c r="H1843" s="23"/>
      <c r="J1843" s="26"/>
    </row>
    <row r="1844">
      <c r="A1844" s="24"/>
      <c r="B1844" s="23"/>
      <c r="C1844" s="25"/>
      <c r="D1844" s="25"/>
      <c r="E1844" s="23"/>
      <c r="F1844" s="23"/>
      <c r="G1844" s="23"/>
      <c r="H1844" s="23"/>
      <c r="J1844" s="26"/>
    </row>
    <row r="1845">
      <c r="A1845" s="24"/>
      <c r="B1845" s="23"/>
      <c r="C1845" s="25"/>
      <c r="D1845" s="25"/>
      <c r="E1845" s="23"/>
      <c r="F1845" s="23"/>
      <c r="G1845" s="23"/>
      <c r="H1845" s="23"/>
      <c r="J1845" s="26"/>
    </row>
    <row r="1846">
      <c r="A1846" s="24"/>
      <c r="B1846" s="23"/>
      <c r="C1846" s="25"/>
      <c r="D1846" s="25"/>
      <c r="E1846" s="23"/>
      <c r="F1846" s="23"/>
      <c r="G1846" s="23"/>
      <c r="H1846" s="23"/>
      <c r="J1846" s="26"/>
    </row>
    <row r="1847">
      <c r="A1847" s="24"/>
      <c r="B1847" s="23"/>
      <c r="C1847" s="25"/>
      <c r="D1847" s="25"/>
      <c r="E1847" s="23"/>
      <c r="F1847" s="23"/>
      <c r="G1847" s="23"/>
      <c r="H1847" s="23"/>
      <c r="J1847" s="26"/>
    </row>
    <row r="1848">
      <c r="A1848" s="24"/>
      <c r="B1848" s="23"/>
      <c r="C1848" s="25"/>
      <c r="D1848" s="25"/>
      <c r="E1848" s="23"/>
      <c r="F1848" s="23"/>
      <c r="G1848" s="23"/>
      <c r="H1848" s="23"/>
      <c r="J1848" s="26"/>
    </row>
    <row r="1849">
      <c r="A1849" s="24"/>
      <c r="B1849" s="23"/>
      <c r="C1849" s="25"/>
      <c r="D1849" s="25"/>
      <c r="E1849" s="23"/>
      <c r="F1849" s="23"/>
      <c r="G1849" s="23"/>
      <c r="H1849" s="23"/>
      <c r="J1849" s="26"/>
    </row>
    <row r="1850">
      <c r="A1850" s="24"/>
      <c r="B1850" s="23"/>
      <c r="C1850" s="25"/>
      <c r="D1850" s="25"/>
      <c r="E1850" s="23"/>
      <c r="F1850" s="23"/>
      <c r="G1850" s="23"/>
      <c r="H1850" s="23"/>
      <c r="J1850" s="26"/>
    </row>
    <row r="1851">
      <c r="A1851" s="24"/>
      <c r="B1851" s="23"/>
      <c r="C1851" s="25"/>
      <c r="D1851" s="25"/>
      <c r="E1851" s="23"/>
      <c r="F1851" s="23"/>
      <c r="G1851" s="23"/>
      <c r="H1851" s="23"/>
      <c r="J1851" s="26"/>
    </row>
    <row r="1852">
      <c r="A1852" s="24"/>
      <c r="B1852" s="23"/>
      <c r="C1852" s="25"/>
      <c r="D1852" s="25"/>
      <c r="E1852" s="23"/>
      <c r="F1852" s="23"/>
      <c r="G1852" s="23"/>
      <c r="H1852" s="23"/>
      <c r="J1852" s="26"/>
    </row>
    <row r="1853">
      <c r="A1853" s="24"/>
      <c r="B1853" s="23"/>
      <c r="C1853" s="25"/>
      <c r="D1853" s="25"/>
      <c r="E1853" s="23"/>
      <c r="F1853" s="23"/>
      <c r="G1853" s="23"/>
      <c r="H1853" s="23"/>
      <c r="J1853" s="26"/>
    </row>
    <row r="1854">
      <c r="A1854" s="24"/>
      <c r="B1854" s="23"/>
      <c r="C1854" s="25"/>
      <c r="D1854" s="25"/>
      <c r="E1854" s="23"/>
      <c r="F1854" s="23"/>
      <c r="G1854" s="23"/>
      <c r="H1854" s="23"/>
      <c r="J1854" s="26"/>
    </row>
    <row r="1855">
      <c r="A1855" s="24"/>
      <c r="B1855" s="23"/>
      <c r="C1855" s="25"/>
      <c r="D1855" s="25"/>
      <c r="E1855" s="23"/>
      <c r="F1855" s="23"/>
      <c r="G1855" s="23"/>
      <c r="H1855" s="23"/>
      <c r="J1855" s="26"/>
    </row>
    <row r="1856">
      <c r="A1856" s="24"/>
      <c r="B1856" s="23"/>
      <c r="C1856" s="25"/>
      <c r="D1856" s="25"/>
      <c r="E1856" s="23"/>
      <c r="F1856" s="23"/>
      <c r="G1856" s="23"/>
      <c r="H1856" s="23"/>
      <c r="J1856" s="26"/>
    </row>
    <row r="1857">
      <c r="A1857" s="24"/>
      <c r="B1857" s="23"/>
      <c r="C1857" s="25"/>
      <c r="D1857" s="25"/>
      <c r="E1857" s="23"/>
      <c r="F1857" s="23"/>
      <c r="G1857" s="23"/>
      <c r="H1857" s="23"/>
      <c r="J1857" s="26"/>
    </row>
    <row r="1858">
      <c r="A1858" s="24"/>
      <c r="B1858" s="23"/>
      <c r="C1858" s="25"/>
      <c r="D1858" s="25"/>
      <c r="E1858" s="23"/>
      <c r="F1858" s="23"/>
      <c r="G1858" s="23"/>
      <c r="H1858" s="23"/>
      <c r="J1858" s="26"/>
    </row>
    <row r="1859">
      <c r="A1859" s="24"/>
      <c r="B1859" s="23"/>
      <c r="C1859" s="25"/>
      <c r="D1859" s="25"/>
      <c r="E1859" s="23"/>
      <c r="F1859" s="23"/>
      <c r="G1859" s="23"/>
      <c r="H1859" s="23"/>
      <c r="J1859" s="26"/>
    </row>
    <row r="1860">
      <c r="A1860" s="24"/>
      <c r="B1860" s="23"/>
      <c r="C1860" s="25"/>
      <c r="D1860" s="25"/>
      <c r="E1860" s="23"/>
      <c r="F1860" s="23"/>
      <c r="G1860" s="23"/>
      <c r="H1860" s="23"/>
      <c r="J1860" s="26"/>
    </row>
    <row r="1861">
      <c r="A1861" s="24"/>
      <c r="B1861" s="23"/>
      <c r="C1861" s="25"/>
      <c r="D1861" s="25"/>
      <c r="E1861" s="23"/>
      <c r="F1861" s="23"/>
      <c r="G1861" s="23"/>
      <c r="H1861" s="23"/>
      <c r="J1861" s="26"/>
    </row>
    <row r="1862">
      <c r="A1862" s="24"/>
      <c r="B1862" s="23"/>
      <c r="C1862" s="25"/>
      <c r="D1862" s="25"/>
      <c r="E1862" s="23"/>
      <c r="F1862" s="23"/>
      <c r="G1862" s="23"/>
      <c r="H1862" s="23"/>
      <c r="J1862" s="26"/>
    </row>
    <row r="1863">
      <c r="A1863" s="24"/>
      <c r="B1863" s="23"/>
      <c r="C1863" s="25"/>
      <c r="D1863" s="25"/>
      <c r="E1863" s="23"/>
      <c r="F1863" s="23"/>
      <c r="G1863" s="23"/>
      <c r="H1863" s="23"/>
      <c r="J1863" s="26"/>
    </row>
    <row r="1864">
      <c r="A1864" s="24"/>
      <c r="B1864" s="23"/>
      <c r="C1864" s="25"/>
      <c r="D1864" s="25"/>
      <c r="E1864" s="23"/>
      <c r="F1864" s="23"/>
      <c r="G1864" s="23"/>
      <c r="H1864" s="23"/>
      <c r="J1864" s="26"/>
    </row>
    <row r="1865">
      <c r="A1865" s="24"/>
      <c r="B1865" s="23"/>
      <c r="C1865" s="25"/>
      <c r="D1865" s="25"/>
      <c r="E1865" s="23"/>
      <c r="F1865" s="23"/>
      <c r="G1865" s="23"/>
      <c r="H1865" s="23"/>
      <c r="J1865" s="26"/>
    </row>
    <row r="1866">
      <c r="A1866" s="24"/>
      <c r="B1866" s="23"/>
      <c r="C1866" s="25"/>
      <c r="D1866" s="25"/>
      <c r="E1866" s="23"/>
      <c r="F1866" s="23"/>
      <c r="G1866" s="23"/>
      <c r="H1866" s="23"/>
      <c r="J1866" s="26"/>
    </row>
    <row r="1867">
      <c r="A1867" s="24"/>
      <c r="B1867" s="23"/>
      <c r="C1867" s="25"/>
      <c r="D1867" s="25"/>
      <c r="E1867" s="23"/>
      <c r="F1867" s="23"/>
      <c r="G1867" s="23"/>
      <c r="H1867" s="23"/>
      <c r="J1867" s="26"/>
    </row>
    <row r="1868">
      <c r="A1868" s="24"/>
      <c r="B1868" s="23"/>
      <c r="C1868" s="25"/>
      <c r="D1868" s="25"/>
      <c r="E1868" s="23"/>
      <c r="F1868" s="23"/>
      <c r="G1868" s="23"/>
      <c r="H1868" s="23"/>
      <c r="J1868" s="26"/>
    </row>
    <row r="1869">
      <c r="A1869" s="24"/>
      <c r="B1869" s="23"/>
      <c r="C1869" s="25"/>
      <c r="D1869" s="25"/>
      <c r="E1869" s="23"/>
      <c r="F1869" s="23"/>
      <c r="G1869" s="23"/>
      <c r="H1869" s="23"/>
      <c r="J1869" s="26"/>
    </row>
    <row r="1870">
      <c r="A1870" s="24"/>
      <c r="B1870" s="23"/>
      <c r="C1870" s="25"/>
      <c r="D1870" s="25"/>
      <c r="E1870" s="23"/>
      <c r="F1870" s="23"/>
      <c r="G1870" s="23"/>
      <c r="H1870" s="23"/>
      <c r="J1870" s="26"/>
    </row>
    <row r="1871">
      <c r="A1871" s="24"/>
      <c r="B1871" s="23"/>
      <c r="C1871" s="25"/>
      <c r="D1871" s="25"/>
      <c r="E1871" s="23"/>
      <c r="F1871" s="23"/>
      <c r="G1871" s="23"/>
      <c r="H1871" s="23"/>
      <c r="J1871" s="26"/>
    </row>
    <row r="1872">
      <c r="A1872" s="24"/>
      <c r="B1872" s="23"/>
      <c r="C1872" s="25"/>
      <c r="D1872" s="25"/>
      <c r="E1872" s="23"/>
      <c r="F1872" s="23"/>
      <c r="G1872" s="23"/>
      <c r="H1872" s="23"/>
      <c r="J1872" s="26"/>
    </row>
    <row r="1873">
      <c r="A1873" s="24"/>
      <c r="B1873" s="23"/>
      <c r="C1873" s="25"/>
      <c r="D1873" s="25"/>
      <c r="E1873" s="23"/>
      <c r="F1873" s="23"/>
      <c r="G1873" s="23"/>
      <c r="H1873" s="23"/>
      <c r="J1873" s="26"/>
    </row>
    <row r="1874">
      <c r="A1874" s="24"/>
      <c r="B1874" s="23"/>
      <c r="C1874" s="25"/>
      <c r="D1874" s="25"/>
      <c r="E1874" s="23"/>
      <c r="F1874" s="23"/>
      <c r="G1874" s="23"/>
      <c r="H1874" s="23"/>
      <c r="J1874" s="26"/>
    </row>
    <row r="1875">
      <c r="A1875" s="24"/>
      <c r="B1875" s="23"/>
      <c r="C1875" s="25"/>
      <c r="D1875" s="25"/>
      <c r="E1875" s="23"/>
      <c r="F1875" s="23"/>
      <c r="G1875" s="23"/>
      <c r="H1875" s="23"/>
      <c r="J1875" s="26"/>
    </row>
    <row r="1876">
      <c r="A1876" s="24"/>
      <c r="B1876" s="23"/>
      <c r="C1876" s="25"/>
      <c r="D1876" s="25"/>
      <c r="E1876" s="23"/>
      <c r="F1876" s="23"/>
      <c r="G1876" s="23"/>
      <c r="H1876" s="23"/>
      <c r="J1876" s="26"/>
    </row>
    <row r="1877">
      <c r="A1877" s="24"/>
      <c r="B1877" s="23"/>
      <c r="C1877" s="25"/>
      <c r="D1877" s="25"/>
      <c r="E1877" s="23"/>
      <c r="F1877" s="23"/>
      <c r="G1877" s="23"/>
      <c r="H1877" s="23"/>
      <c r="J1877" s="26"/>
    </row>
    <row r="1878">
      <c r="A1878" s="24"/>
      <c r="B1878" s="23"/>
      <c r="C1878" s="25"/>
      <c r="D1878" s="25"/>
      <c r="E1878" s="23"/>
      <c r="F1878" s="23"/>
      <c r="G1878" s="23"/>
      <c r="H1878" s="23"/>
      <c r="J1878" s="26"/>
    </row>
    <row r="1879">
      <c r="A1879" s="24"/>
      <c r="B1879" s="23"/>
      <c r="C1879" s="25"/>
      <c r="D1879" s="25"/>
      <c r="E1879" s="23"/>
      <c r="F1879" s="23"/>
      <c r="G1879" s="23"/>
      <c r="H1879" s="23"/>
      <c r="J1879" s="26"/>
    </row>
    <row r="1880">
      <c r="A1880" s="24"/>
      <c r="B1880" s="23"/>
      <c r="C1880" s="25"/>
      <c r="D1880" s="25"/>
      <c r="E1880" s="23"/>
      <c r="F1880" s="23"/>
      <c r="G1880" s="23"/>
      <c r="H1880" s="23"/>
      <c r="J1880" s="26"/>
    </row>
    <row r="1881">
      <c r="A1881" s="24"/>
      <c r="B1881" s="23"/>
      <c r="C1881" s="25"/>
      <c r="D1881" s="25"/>
      <c r="E1881" s="23"/>
      <c r="F1881" s="23"/>
      <c r="G1881" s="23"/>
      <c r="H1881" s="23"/>
      <c r="J1881" s="26"/>
    </row>
    <row r="1882">
      <c r="A1882" s="24"/>
      <c r="B1882" s="23"/>
      <c r="C1882" s="25"/>
      <c r="D1882" s="25"/>
      <c r="E1882" s="23"/>
      <c r="F1882" s="23"/>
      <c r="G1882" s="23"/>
      <c r="H1882" s="23"/>
      <c r="J1882" s="26"/>
    </row>
    <row r="1883">
      <c r="A1883" s="24"/>
      <c r="B1883" s="23"/>
      <c r="C1883" s="25"/>
      <c r="D1883" s="25"/>
      <c r="E1883" s="23"/>
      <c r="F1883" s="23"/>
      <c r="G1883" s="23"/>
      <c r="H1883" s="23"/>
      <c r="J1883" s="26"/>
    </row>
    <row r="1884">
      <c r="A1884" s="24"/>
      <c r="B1884" s="23"/>
      <c r="C1884" s="25"/>
      <c r="D1884" s="25"/>
      <c r="E1884" s="23"/>
      <c r="F1884" s="23"/>
      <c r="G1884" s="23"/>
      <c r="H1884" s="23"/>
      <c r="J1884" s="26"/>
    </row>
    <row r="1885">
      <c r="A1885" s="24"/>
      <c r="B1885" s="23"/>
      <c r="C1885" s="25"/>
      <c r="D1885" s="25"/>
      <c r="E1885" s="23"/>
      <c r="F1885" s="23"/>
      <c r="G1885" s="23"/>
      <c r="H1885" s="23"/>
      <c r="J1885" s="26"/>
    </row>
    <row r="1886">
      <c r="A1886" s="24"/>
      <c r="B1886" s="23"/>
      <c r="C1886" s="25"/>
      <c r="D1886" s="25"/>
      <c r="E1886" s="23"/>
      <c r="F1886" s="23"/>
      <c r="G1886" s="23"/>
      <c r="H1886" s="23"/>
      <c r="J1886" s="26"/>
    </row>
    <row r="1887">
      <c r="A1887" s="24"/>
      <c r="B1887" s="23"/>
      <c r="C1887" s="25"/>
      <c r="D1887" s="25"/>
      <c r="E1887" s="23"/>
      <c r="F1887" s="23"/>
      <c r="G1887" s="23"/>
      <c r="H1887" s="23"/>
      <c r="J1887" s="26"/>
    </row>
    <row r="1888">
      <c r="A1888" s="24"/>
      <c r="B1888" s="23"/>
      <c r="C1888" s="25"/>
      <c r="D1888" s="25"/>
      <c r="E1888" s="23"/>
      <c r="F1888" s="23"/>
      <c r="G1888" s="23"/>
      <c r="H1888" s="23"/>
      <c r="J1888" s="26"/>
    </row>
    <row r="1889">
      <c r="A1889" s="24"/>
      <c r="B1889" s="23"/>
      <c r="C1889" s="25"/>
      <c r="D1889" s="25"/>
      <c r="E1889" s="23"/>
      <c r="F1889" s="23"/>
      <c r="G1889" s="23"/>
      <c r="H1889" s="23"/>
      <c r="J1889" s="26"/>
    </row>
    <row r="1890">
      <c r="A1890" s="24"/>
      <c r="B1890" s="23"/>
      <c r="C1890" s="25"/>
      <c r="D1890" s="25"/>
      <c r="E1890" s="23"/>
      <c r="F1890" s="23"/>
      <c r="G1890" s="23"/>
      <c r="H1890" s="23"/>
      <c r="J1890" s="26"/>
    </row>
    <row r="1891">
      <c r="A1891" s="24"/>
      <c r="B1891" s="23"/>
      <c r="C1891" s="25"/>
      <c r="D1891" s="25"/>
      <c r="E1891" s="23"/>
      <c r="F1891" s="23"/>
      <c r="G1891" s="23"/>
      <c r="H1891" s="23"/>
      <c r="J1891" s="26"/>
    </row>
    <row r="1892">
      <c r="A1892" s="24"/>
      <c r="B1892" s="23"/>
      <c r="C1892" s="25"/>
      <c r="D1892" s="25"/>
      <c r="E1892" s="23"/>
      <c r="F1892" s="23"/>
      <c r="G1892" s="23"/>
      <c r="H1892" s="23"/>
      <c r="J1892" s="26"/>
    </row>
    <row r="1893">
      <c r="A1893" s="24"/>
      <c r="B1893" s="23"/>
      <c r="C1893" s="25"/>
      <c r="D1893" s="25"/>
      <c r="E1893" s="23"/>
      <c r="F1893" s="23"/>
      <c r="G1893" s="23"/>
      <c r="H1893" s="23"/>
      <c r="J1893" s="26"/>
    </row>
    <row r="1894">
      <c r="A1894" s="24"/>
      <c r="B1894" s="23"/>
      <c r="C1894" s="25"/>
      <c r="D1894" s="25"/>
      <c r="E1894" s="23"/>
      <c r="F1894" s="23"/>
      <c r="G1894" s="23"/>
      <c r="H1894" s="23"/>
      <c r="J1894" s="26"/>
    </row>
    <row r="1895">
      <c r="A1895" s="24"/>
      <c r="B1895" s="23"/>
      <c r="C1895" s="25"/>
      <c r="D1895" s="25"/>
      <c r="E1895" s="23"/>
      <c r="F1895" s="23"/>
      <c r="G1895" s="23"/>
      <c r="H1895" s="23"/>
      <c r="J1895" s="26"/>
    </row>
    <row r="1896">
      <c r="A1896" s="24"/>
      <c r="B1896" s="23"/>
      <c r="C1896" s="25"/>
      <c r="D1896" s="25"/>
      <c r="E1896" s="23"/>
      <c r="F1896" s="23"/>
      <c r="G1896" s="23"/>
      <c r="H1896" s="23"/>
      <c r="J1896" s="26"/>
    </row>
    <row r="1897">
      <c r="A1897" s="24"/>
      <c r="B1897" s="23"/>
      <c r="C1897" s="25"/>
      <c r="D1897" s="25"/>
      <c r="E1897" s="23"/>
      <c r="F1897" s="23"/>
      <c r="G1897" s="23"/>
      <c r="H1897" s="23"/>
      <c r="J1897" s="26"/>
    </row>
    <row r="1898">
      <c r="A1898" s="24"/>
      <c r="B1898" s="23"/>
      <c r="C1898" s="25"/>
      <c r="D1898" s="25"/>
      <c r="E1898" s="23"/>
      <c r="F1898" s="23"/>
      <c r="G1898" s="23"/>
      <c r="H1898" s="23"/>
      <c r="J1898" s="26"/>
    </row>
    <row r="1899">
      <c r="A1899" s="24"/>
      <c r="B1899" s="23"/>
      <c r="C1899" s="25"/>
      <c r="D1899" s="25"/>
      <c r="E1899" s="23"/>
      <c r="F1899" s="23"/>
      <c r="G1899" s="23"/>
      <c r="H1899" s="23"/>
      <c r="J1899" s="26"/>
    </row>
    <row r="1900">
      <c r="A1900" s="24"/>
      <c r="B1900" s="23"/>
      <c r="C1900" s="25"/>
      <c r="D1900" s="25"/>
      <c r="E1900" s="23"/>
      <c r="F1900" s="23"/>
      <c r="G1900" s="23"/>
      <c r="H1900" s="23"/>
      <c r="J1900" s="26"/>
    </row>
    <row r="1901">
      <c r="A1901" s="24"/>
      <c r="B1901" s="23"/>
      <c r="C1901" s="25"/>
      <c r="D1901" s="25"/>
      <c r="E1901" s="23"/>
      <c r="F1901" s="23"/>
      <c r="G1901" s="23"/>
      <c r="H1901" s="23"/>
      <c r="J1901" s="26"/>
    </row>
    <row r="1902">
      <c r="A1902" s="24"/>
      <c r="B1902" s="23"/>
      <c r="C1902" s="25"/>
      <c r="D1902" s="25"/>
      <c r="E1902" s="23"/>
      <c r="F1902" s="23"/>
      <c r="G1902" s="23"/>
      <c r="H1902" s="23"/>
      <c r="J1902" s="26"/>
    </row>
    <row r="1903">
      <c r="A1903" s="24"/>
      <c r="B1903" s="23"/>
      <c r="C1903" s="25"/>
      <c r="D1903" s="25"/>
      <c r="E1903" s="23"/>
      <c r="F1903" s="23"/>
      <c r="G1903" s="23"/>
      <c r="H1903" s="23"/>
      <c r="J1903" s="26"/>
    </row>
    <row r="1904">
      <c r="A1904" s="24"/>
      <c r="B1904" s="23"/>
      <c r="C1904" s="25"/>
      <c r="D1904" s="25"/>
      <c r="E1904" s="23"/>
      <c r="F1904" s="23"/>
      <c r="G1904" s="23"/>
      <c r="H1904" s="23"/>
      <c r="J1904" s="26"/>
    </row>
    <row r="1905">
      <c r="A1905" s="24"/>
      <c r="B1905" s="23"/>
      <c r="C1905" s="25"/>
      <c r="D1905" s="25"/>
      <c r="E1905" s="23"/>
      <c r="F1905" s="23"/>
      <c r="G1905" s="23"/>
      <c r="H1905" s="23"/>
      <c r="J1905" s="26"/>
    </row>
    <row r="1906">
      <c r="A1906" s="24"/>
      <c r="B1906" s="23"/>
      <c r="C1906" s="25"/>
      <c r="D1906" s="25"/>
      <c r="E1906" s="23"/>
      <c r="F1906" s="23"/>
      <c r="G1906" s="23"/>
      <c r="H1906" s="23"/>
      <c r="J1906" s="26"/>
    </row>
    <row r="1907">
      <c r="A1907" s="24"/>
      <c r="B1907" s="23"/>
      <c r="C1907" s="25"/>
      <c r="D1907" s="25"/>
      <c r="E1907" s="23"/>
      <c r="F1907" s="23"/>
      <c r="G1907" s="23"/>
      <c r="H1907" s="23"/>
      <c r="J1907" s="26"/>
    </row>
    <row r="1908">
      <c r="A1908" s="24"/>
      <c r="B1908" s="23"/>
      <c r="C1908" s="25"/>
      <c r="D1908" s="25"/>
      <c r="E1908" s="23"/>
      <c r="F1908" s="23"/>
      <c r="G1908" s="23"/>
      <c r="H1908" s="23"/>
      <c r="J1908" s="26"/>
    </row>
    <row r="1909">
      <c r="A1909" s="24"/>
      <c r="B1909" s="23"/>
      <c r="C1909" s="25"/>
      <c r="D1909" s="25"/>
      <c r="E1909" s="23"/>
      <c r="F1909" s="23"/>
      <c r="G1909" s="23"/>
      <c r="H1909" s="23"/>
      <c r="J1909" s="26"/>
    </row>
    <row r="1910">
      <c r="A1910" s="24"/>
      <c r="B1910" s="23"/>
      <c r="C1910" s="25"/>
      <c r="D1910" s="25"/>
      <c r="E1910" s="23"/>
      <c r="F1910" s="23"/>
      <c r="G1910" s="23"/>
      <c r="H1910" s="23"/>
      <c r="J1910" s="26"/>
    </row>
    <row r="1911">
      <c r="A1911" s="24"/>
      <c r="B1911" s="23"/>
      <c r="C1911" s="25"/>
      <c r="D1911" s="25"/>
      <c r="E1911" s="23"/>
      <c r="F1911" s="23"/>
      <c r="G1911" s="23"/>
      <c r="H1911" s="23"/>
      <c r="J1911" s="26"/>
    </row>
    <row r="1912">
      <c r="A1912" s="24"/>
      <c r="B1912" s="23"/>
      <c r="C1912" s="25"/>
      <c r="D1912" s="25"/>
      <c r="E1912" s="23"/>
      <c r="F1912" s="23"/>
      <c r="G1912" s="23"/>
      <c r="H1912" s="23"/>
      <c r="J1912" s="26"/>
    </row>
    <row r="1913">
      <c r="A1913" s="24"/>
      <c r="B1913" s="23"/>
      <c r="C1913" s="25"/>
      <c r="D1913" s="25"/>
      <c r="E1913" s="23"/>
      <c r="F1913" s="23"/>
      <c r="G1913" s="23"/>
      <c r="H1913" s="23"/>
      <c r="J1913" s="26"/>
    </row>
    <row r="1914">
      <c r="A1914" s="24"/>
      <c r="B1914" s="23"/>
      <c r="C1914" s="25"/>
      <c r="D1914" s="25"/>
      <c r="E1914" s="23"/>
      <c r="F1914" s="23"/>
      <c r="G1914" s="23"/>
      <c r="H1914" s="23"/>
      <c r="J1914" s="26"/>
    </row>
    <row r="1915">
      <c r="A1915" s="24"/>
      <c r="B1915" s="23"/>
      <c r="C1915" s="25"/>
      <c r="D1915" s="25"/>
      <c r="E1915" s="23"/>
      <c r="F1915" s="23"/>
      <c r="G1915" s="23"/>
      <c r="H1915" s="23"/>
      <c r="J1915" s="26"/>
    </row>
    <row r="1916">
      <c r="A1916" s="24"/>
      <c r="B1916" s="23"/>
      <c r="C1916" s="25"/>
      <c r="D1916" s="25"/>
      <c r="E1916" s="23"/>
      <c r="F1916" s="23"/>
      <c r="G1916" s="23"/>
      <c r="H1916" s="23"/>
      <c r="J1916" s="26"/>
    </row>
    <row r="1917">
      <c r="A1917" s="24"/>
      <c r="B1917" s="23"/>
      <c r="C1917" s="25"/>
      <c r="D1917" s="25"/>
      <c r="E1917" s="23"/>
      <c r="F1917" s="23"/>
      <c r="G1917" s="23"/>
      <c r="H1917" s="23"/>
      <c r="J1917" s="26"/>
    </row>
    <row r="1918">
      <c r="A1918" s="24"/>
      <c r="B1918" s="23"/>
      <c r="C1918" s="25"/>
      <c r="D1918" s="25"/>
      <c r="E1918" s="23"/>
      <c r="F1918" s="23"/>
      <c r="G1918" s="23"/>
      <c r="H1918" s="23"/>
      <c r="J1918" s="26"/>
    </row>
    <row r="1919">
      <c r="A1919" s="24"/>
      <c r="B1919" s="23"/>
      <c r="C1919" s="25"/>
      <c r="D1919" s="25"/>
      <c r="E1919" s="23"/>
      <c r="F1919" s="23"/>
      <c r="G1919" s="23"/>
      <c r="H1919" s="23"/>
      <c r="J1919" s="26"/>
    </row>
    <row r="1920">
      <c r="A1920" s="24"/>
      <c r="B1920" s="23"/>
      <c r="C1920" s="25"/>
      <c r="D1920" s="25"/>
      <c r="E1920" s="23"/>
      <c r="F1920" s="23"/>
      <c r="G1920" s="23"/>
      <c r="H1920" s="23"/>
      <c r="J1920" s="26"/>
    </row>
    <row r="1921">
      <c r="A1921" s="24"/>
      <c r="B1921" s="23"/>
      <c r="C1921" s="25"/>
      <c r="D1921" s="25"/>
      <c r="E1921" s="23"/>
      <c r="F1921" s="23"/>
      <c r="G1921" s="23"/>
      <c r="H1921" s="23"/>
      <c r="J1921" s="26"/>
    </row>
    <row r="1922">
      <c r="A1922" s="24"/>
      <c r="B1922" s="23"/>
      <c r="C1922" s="25"/>
      <c r="D1922" s="25"/>
      <c r="E1922" s="23"/>
      <c r="F1922" s="23"/>
      <c r="G1922" s="23"/>
      <c r="H1922" s="23"/>
      <c r="J1922" s="26"/>
    </row>
    <row r="1923">
      <c r="A1923" s="24"/>
      <c r="B1923" s="23"/>
      <c r="C1923" s="25"/>
      <c r="D1923" s="25"/>
      <c r="E1923" s="23"/>
      <c r="F1923" s="23"/>
      <c r="G1923" s="23"/>
      <c r="H1923" s="23"/>
      <c r="J1923" s="26"/>
    </row>
    <row r="1924">
      <c r="A1924" s="24"/>
      <c r="B1924" s="23"/>
      <c r="C1924" s="25"/>
      <c r="D1924" s="25"/>
      <c r="E1924" s="23"/>
      <c r="F1924" s="23"/>
      <c r="G1924" s="23"/>
      <c r="H1924" s="23"/>
      <c r="J1924" s="26"/>
    </row>
    <row r="1925">
      <c r="A1925" s="24"/>
      <c r="B1925" s="23"/>
      <c r="C1925" s="25"/>
      <c r="D1925" s="25"/>
      <c r="E1925" s="23"/>
      <c r="F1925" s="23"/>
      <c r="G1925" s="23"/>
      <c r="H1925" s="23"/>
      <c r="J1925" s="26"/>
    </row>
    <row r="1926">
      <c r="A1926" s="24"/>
      <c r="B1926" s="23"/>
      <c r="C1926" s="25"/>
      <c r="D1926" s="25"/>
      <c r="E1926" s="23"/>
      <c r="F1926" s="23"/>
      <c r="G1926" s="23"/>
      <c r="H1926" s="23"/>
      <c r="J1926" s="26"/>
    </row>
    <row r="1927">
      <c r="A1927" s="24"/>
      <c r="B1927" s="23"/>
      <c r="C1927" s="25"/>
      <c r="D1927" s="25"/>
      <c r="E1927" s="23"/>
      <c r="F1927" s="23"/>
      <c r="G1927" s="23"/>
      <c r="H1927" s="23"/>
      <c r="J1927" s="26"/>
    </row>
    <row r="1928">
      <c r="A1928" s="24"/>
      <c r="B1928" s="23"/>
      <c r="C1928" s="25"/>
      <c r="D1928" s="25"/>
      <c r="E1928" s="23"/>
      <c r="F1928" s="23"/>
      <c r="G1928" s="23"/>
      <c r="H1928" s="23"/>
      <c r="J1928" s="26"/>
    </row>
    <row r="1929">
      <c r="A1929" s="24"/>
      <c r="B1929" s="23"/>
      <c r="C1929" s="25"/>
      <c r="D1929" s="25"/>
      <c r="E1929" s="23"/>
      <c r="F1929" s="23"/>
      <c r="G1929" s="23"/>
      <c r="H1929" s="23"/>
      <c r="J1929" s="26"/>
    </row>
    <row r="1930">
      <c r="A1930" s="24"/>
      <c r="B1930" s="23"/>
      <c r="C1930" s="25"/>
      <c r="D1930" s="25"/>
      <c r="E1930" s="23"/>
      <c r="F1930" s="23"/>
      <c r="G1930" s="23"/>
      <c r="H1930" s="23"/>
      <c r="J1930" s="26"/>
    </row>
    <row r="1931">
      <c r="A1931" s="24"/>
      <c r="B1931" s="23"/>
      <c r="C1931" s="25"/>
      <c r="D1931" s="25"/>
      <c r="E1931" s="23"/>
      <c r="F1931" s="23"/>
      <c r="G1931" s="23"/>
      <c r="H1931" s="23"/>
      <c r="J1931" s="26"/>
    </row>
    <row r="1932">
      <c r="A1932" s="24"/>
      <c r="B1932" s="23"/>
      <c r="C1932" s="25"/>
      <c r="D1932" s="25"/>
      <c r="E1932" s="23"/>
      <c r="F1932" s="23"/>
      <c r="G1932" s="23"/>
      <c r="H1932" s="23"/>
      <c r="J1932" s="26"/>
    </row>
    <row r="1933">
      <c r="A1933" s="24"/>
      <c r="B1933" s="23"/>
      <c r="C1933" s="25"/>
      <c r="D1933" s="25"/>
      <c r="E1933" s="23"/>
      <c r="F1933" s="23"/>
      <c r="G1933" s="23"/>
      <c r="H1933" s="23"/>
      <c r="J1933" s="26"/>
    </row>
    <row r="1934">
      <c r="A1934" s="24"/>
      <c r="B1934" s="23"/>
      <c r="C1934" s="25"/>
      <c r="D1934" s="25"/>
      <c r="E1934" s="23"/>
      <c r="F1934" s="23"/>
      <c r="G1934" s="23"/>
      <c r="H1934" s="23"/>
      <c r="J1934" s="26"/>
    </row>
    <row r="1935">
      <c r="A1935" s="24"/>
      <c r="B1935" s="23"/>
      <c r="C1935" s="25"/>
      <c r="D1935" s="25"/>
      <c r="E1935" s="23"/>
      <c r="F1935" s="23"/>
      <c r="G1935" s="23"/>
      <c r="H1935" s="23"/>
      <c r="J1935" s="26"/>
    </row>
    <row r="1936">
      <c r="A1936" s="24"/>
      <c r="B1936" s="23"/>
      <c r="C1936" s="25"/>
      <c r="D1936" s="25"/>
      <c r="E1936" s="23"/>
      <c r="F1936" s="23"/>
      <c r="G1936" s="23"/>
      <c r="H1936" s="23"/>
      <c r="J1936" s="26"/>
    </row>
    <row r="1937">
      <c r="A1937" s="24"/>
      <c r="B1937" s="23"/>
      <c r="C1937" s="25"/>
      <c r="D1937" s="25"/>
      <c r="E1937" s="23"/>
      <c r="F1937" s="23"/>
      <c r="G1937" s="23"/>
      <c r="H1937" s="23"/>
      <c r="J1937" s="26"/>
    </row>
    <row r="1938">
      <c r="A1938" s="24"/>
      <c r="B1938" s="23"/>
      <c r="C1938" s="25"/>
      <c r="D1938" s="25"/>
      <c r="E1938" s="23"/>
      <c r="F1938" s="23"/>
      <c r="G1938" s="23"/>
      <c r="H1938" s="23"/>
      <c r="J1938" s="26"/>
    </row>
    <row r="1939">
      <c r="A1939" s="24"/>
      <c r="B1939" s="23"/>
      <c r="C1939" s="25"/>
      <c r="D1939" s="25"/>
      <c r="E1939" s="23"/>
      <c r="F1939" s="23"/>
      <c r="G1939" s="23"/>
      <c r="H1939" s="23"/>
      <c r="J1939" s="26"/>
    </row>
    <row r="1940">
      <c r="A1940" s="24"/>
      <c r="B1940" s="23"/>
      <c r="C1940" s="25"/>
      <c r="D1940" s="25"/>
      <c r="E1940" s="23"/>
      <c r="F1940" s="23"/>
      <c r="G1940" s="23"/>
      <c r="H1940" s="23"/>
      <c r="J1940" s="26"/>
    </row>
    <row r="1941">
      <c r="A1941" s="24"/>
      <c r="B1941" s="23"/>
      <c r="C1941" s="25"/>
      <c r="D1941" s="25"/>
      <c r="E1941" s="23"/>
      <c r="F1941" s="23"/>
      <c r="G1941" s="23"/>
      <c r="H1941" s="23"/>
      <c r="J1941" s="26"/>
    </row>
    <row r="1942">
      <c r="A1942" s="24"/>
      <c r="B1942" s="23"/>
      <c r="C1942" s="25"/>
      <c r="D1942" s="25"/>
      <c r="E1942" s="23"/>
      <c r="F1942" s="23"/>
      <c r="G1942" s="23"/>
      <c r="H1942" s="23"/>
      <c r="J1942" s="26"/>
    </row>
    <row r="1943">
      <c r="A1943" s="24"/>
      <c r="B1943" s="23"/>
      <c r="C1943" s="25"/>
      <c r="D1943" s="25"/>
      <c r="E1943" s="23"/>
      <c r="F1943" s="23"/>
      <c r="G1943" s="23"/>
      <c r="H1943" s="23"/>
      <c r="J1943" s="26"/>
    </row>
    <row r="1944">
      <c r="A1944" s="24"/>
      <c r="B1944" s="23"/>
      <c r="C1944" s="25"/>
      <c r="D1944" s="25"/>
      <c r="E1944" s="23"/>
      <c r="F1944" s="23"/>
      <c r="G1944" s="23"/>
      <c r="H1944" s="23"/>
      <c r="J1944" s="26"/>
    </row>
    <row r="1945">
      <c r="A1945" s="24"/>
      <c r="B1945" s="23"/>
      <c r="C1945" s="25"/>
      <c r="D1945" s="25"/>
      <c r="E1945" s="23"/>
      <c r="F1945" s="23"/>
      <c r="G1945" s="23"/>
      <c r="H1945" s="23"/>
      <c r="J1945" s="26"/>
    </row>
    <row r="1946">
      <c r="A1946" s="24"/>
      <c r="B1946" s="23"/>
      <c r="C1946" s="25"/>
      <c r="D1946" s="25"/>
      <c r="E1946" s="23"/>
      <c r="F1946" s="23"/>
      <c r="G1946" s="23"/>
      <c r="H1946" s="23"/>
      <c r="J1946" s="26"/>
    </row>
    <row r="1947">
      <c r="A1947" s="24"/>
      <c r="B1947" s="23"/>
      <c r="C1947" s="25"/>
      <c r="D1947" s="25"/>
      <c r="E1947" s="23"/>
      <c r="F1947" s="23"/>
      <c r="G1947" s="23"/>
      <c r="H1947" s="23"/>
      <c r="J1947" s="26"/>
    </row>
    <row r="1948">
      <c r="A1948" s="24"/>
      <c r="B1948" s="23"/>
      <c r="C1948" s="25"/>
      <c r="D1948" s="25"/>
      <c r="E1948" s="23"/>
      <c r="F1948" s="23"/>
      <c r="G1948" s="23"/>
      <c r="H1948" s="23"/>
      <c r="J1948" s="26"/>
    </row>
    <row r="1949">
      <c r="A1949" s="24"/>
      <c r="B1949" s="23"/>
      <c r="C1949" s="25"/>
      <c r="D1949" s="25"/>
      <c r="E1949" s="23"/>
      <c r="F1949" s="23"/>
      <c r="G1949" s="23"/>
      <c r="H1949" s="23"/>
      <c r="J1949" s="26"/>
    </row>
    <row r="1950">
      <c r="A1950" s="24"/>
      <c r="B1950" s="23"/>
      <c r="C1950" s="25"/>
      <c r="D1950" s="25"/>
      <c r="E1950" s="23"/>
      <c r="F1950" s="23"/>
      <c r="G1950" s="23"/>
      <c r="H1950" s="23"/>
      <c r="J1950" s="26"/>
    </row>
    <row r="1951">
      <c r="A1951" s="24"/>
      <c r="B1951" s="23"/>
      <c r="C1951" s="25"/>
      <c r="D1951" s="25"/>
      <c r="E1951" s="23"/>
      <c r="F1951" s="23"/>
      <c r="G1951" s="23"/>
      <c r="H1951" s="23"/>
      <c r="J1951" s="26"/>
    </row>
    <row r="1952">
      <c r="A1952" s="24"/>
      <c r="B1952" s="23"/>
      <c r="C1952" s="25"/>
      <c r="D1952" s="25"/>
      <c r="E1952" s="23"/>
      <c r="F1952" s="23"/>
      <c r="G1952" s="23"/>
      <c r="H1952" s="23"/>
      <c r="J1952" s="26"/>
    </row>
    <row r="1953">
      <c r="A1953" s="24"/>
      <c r="B1953" s="23"/>
      <c r="C1953" s="25"/>
      <c r="D1953" s="25"/>
      <c r="E1953" s="23"/>
      <c r="F1953" s="23"/>
      <c r="G1953" s="23"/>
      <c r="H1953" s="23"/>
      <c r="J1953" s="26"/>
    </row>
    <row r="1954">
      <c r="A1954" s="24"/>
      <c r="B1954" s="23"/>
      <c r="C1954" s="25"/>
      <c r="D1954" s="25"/>
      <c r="E1954" s="23"/>
      <c r="F1954" s="23"/>
      <c r="G1954" s="23"/>
      <c r="H1954" s="23"/>
      <c r="J1954" s="26"/>
    </row>
    <row r="1955">
      <c r="A1955" s="24"/>
      <c r="B1955" s="23"/>
      <c r="C1955" s="25"/>
      <c r="D1955" s="25"/>
      <c r="E1955" s="23"/>
      <c r="F1955" s="23"/>
      <c r="G1955" s="23"/>
      <c r="H1955" s="23"/>
      <c r="J1955" s="26"/>
    </row>
    <row r="1956">
      <c r="A1956" s="24"/>
      <c r="B1956" s="23"/>
      <c r="C1956" s="25"/>
      <c r="D1956" s="25"/>
      <c r="E1956" s="23"/>
      <c r="F1956" s="23"/>
      <c r="G1956" s="23"/>
      <c r="H1956" s="23"/>
      <c r="J1956" s="26"/>
    </row>
    <row r="1957">
      <c r="A1957" s="24"/>
      <c r="B1957" s="23"/>
      <c r="C1957" s="25"/>
      <c r="D1957" s="25"/>
      <c r="E1957" s="23"/>
      <c r="F1957" s="23"/>
      <c r="G1957" s="23"/>
      <c r="H1957" s="23"/>
      <c r="J1957" s="26"/>
    </row>
    <row r="1958">
      <c r="A1958" s="24"/>
      <c r="B1958" s="23"/>
      <c r="C1958" s="25"/>
      <c r="D1958" s="25"/>
      <c r="E1958" s="23"/>
      <c r="F1958" s="23"/>
      <c r="G1958" s="23"/>
      <c r="H1958" s="23"/>
      <c r="J1958" s="26"/>
    </row>
    <row r="1959">
      <c r="A1959" s="24"/>
      <c r="B1959" s="23"/>
      <c r="C1959" s="25"/>
      <c r="D1959" s="25"/>
      <c r="E1959" s="23"/>
      <c r="F1959" s="23"/>
      <c r="G1959" s="23"/>
      <c r="H1959" s="23"/>
      <c r="J1959" s="26"/>
    </row>
    <row r="1960">
      <c r="A1960" s="24"/>
      <c r="B1960" s="23"/>
      <c r="C1960" s="25"/>
      <c r="D1960" s="25"/>
      <c r="E1960" s="23"/>
      <c r="F1960" s="23"/>
      <c r="G1960" s="23"/>
      <c r="H1960" s="23"/>
      <c r="J1960" s="26"/>
    </row>
    <row r="1961">
      <c r="A1961" s="24"/>
      <c r="B1961" s="23"/>
      <c r="C1961" s="25"/>
      <c r="D1961" s="25"/>
      <c r="E1961" s="23"/>
      <c r="F1961" s="23"/>
      <c r="G1961" s="23"/>
      <c r="H1961" s="23"/>
      <c r="J1961" s="26"/>
    </row>
    <row r="1962">
      <c r="A1962" s="24"/>
      <c r="B1962" s="23"/>
      <c r="C1962" s="25"/>
      <c r="D1962" s="25"/>
      <c r="E1962" s="23"/>
      <c r="F1962" s="23"/>
      <c r="G1962" s="23"/>
      <c r="H1962" s="23"/>
      <c r="J1962" s="26"/>
    </row>
    <row r="1963">
      <c r="A1963" s="24"/>
      <c r="B1963" s="23"/>
      <c r="C1963" s="25"/>
      <c r="D1963" s="25"/>
      <c r="E1963" s="23"/>
      <c r="F1963" s="23"/>
      <c r="G1963" s="23"/>
      <c r="H1963" s="23"/>
      <c r="J1963" s="26"/>
    </row>
    <row r="1964">
      <c r="A1964" s="24"/>
      <c r="B1964" s="23"/>
      <c r="C1964" s="25"/>
      <c r="D1964" s="25"/>
      <c r="E1964" s="23"/>
      <c r="F1964" s="23"/>
      <c r="G1964" s="23"/>
      <c r="H1964" s="23"/>
      <c r="J1964" s="26"/>
    </row>
    <row r="1965">
      <c r="A1965" s="24"/>
      <c r="B1965" s="23"/>
      <c r="C1965" s="25"/>
      <c r="D1965" s="25"/>
      <c r="E1965" s="23"/>
      <c r="F1965" s="23"/>
      <c r="G1965" s="23"/>
      <c r="H1965" s="23"/>
      <c r="J1965" s="26"/>
    </row>
    <row r="1966">
      <c r="A1966" s="24"/>
      <c r="B1966" s="23"/>
      <c r="C1966" s="25"/>
      <c r="D1966" s="25"/>
      <c r="E1966" s="23"/>
      <c r="F1966" s="23"/>
      <c r="G1966" s="23"/>
      <c r="H1966" s="23"/>
      <c r="J1966" s="26"/>
    </row>
    <row r="1967">
      <c r="A1967" s="24"/>
      <c r="B1967" s="23"/>
      <c r="C1967" s="25"/>
      <c r="D1967" s="25"/>
      <c r="E1967" s="23"/>
      <c r="F1967" s="23"/>
      <c r="G1967" s="23"/>
      <c r="H1967" s="23"/>
      <c r="J1967" s="26"/>
    </row>
    <row r="1968">
      <c r="A1968" s="24"/>
      <c r="B1968" s="23"/>
      <c r="C1968" s="25"/>
      <c r="D1968" s="25"/>
      <c r="E1968" s="23"/>
      <c r="F1968" s="23"/>
      <c r="G1968" s="23"/>
      <c r="H1968" s="23"/>
      <c r="J1968" s="26"/>
    </row>
    <row r="1969">
      <c r="A1969" s="24"/>
      <c r="B1969" s="23"/>
      <c r="C1969" s="25"/>
      <c r="D1969" s="25"/>
      <c r="E1969" s="23"/>
      <c r="F1969" s="23"/>
      <c r="G1969" s="23"/>
      <c r="H1969" s="23"/>
      <c r="J1969" s="26"/>
    </row>
    <row r="1970">
      <c r="A1970" s="24"/>
      <c r="B1970" s="23"/>
      <c r="C1970" s="25"/>
      <c r="D1970" s="25"/>
      <c r="E1970" s="23"/>
      <c r="F1970" s="23"/>
      <c r="G1970" s="23"/>
      <c r="H1970" s="23"/>
      <c r="J1970" s="26"/>
    </row>
    <row r="1971">
      <c r="A1971" s="24"/>
      <c r="B1971" s="23"/>
      <c r="C1971" s="25"/>
      <c r="D1971" s="25"/>
      <c r="E1971" s="23"/>
      <c r="F1971" s="23"/>
      <c r="G1971" s="23"/>
      <c r="H1971" s="23"/>
      <c r="J1971" s="26"/>
    </row>
    <row r="1972">
      <c r="A1972" s="24"/>
      <c r="B1972" s="23"/>
      <c r="C1972" s="25"/>
      <c r="D1972" s="25"/>
      <c r="E1972" s="23"/>
      <c r="F1972" s="23"/>
      <c r="G1972" s="23"/>
      <c r="H1972" s="23"/>
      <c r="J1972" s="26"/>
    </row>
    <row r="1973">
      <c r="A1973" s="24"/>
      <c r="B1973" s="23"/>
      <c r="C1973" s="25"/>
      <c r="D1973" s="25"/>
      <c r="E1973" s="23"/>
      <c r="F1973" s="23"/>
      <c r="G1973" s="23"/>
      <c r="H1973" s="23"/>
      <c r="J1973" s="26"/>
    </row>
    <row r="1974">
      <c r="A1974" s="24"/>
      <c r="B1974" s="23"/>
      <c r="C1974" s="25"/>
      <c r="D1974" s="25"/>
      <c r="E1974" s="23"/>
      <c r="F1974" s="23"/>
      <c r="G1974" s="23"/>
      <c r="H1974" s="23"/>
      <c r="J1974" s="26"/>
    </row>
    <row r="1975">
      <c r="A1975" s="24"/>
      <c r="B1975" s="23"/>
      <c r="C1975" s="25"/>
      <c r="D1975" s="25"/>
      <c r="E1975" s="23"/>
      <c r="F1975" s="23"/>
      <c r="G1975" s="23"/>
      <c r="H1975" s="23"/>
      <c r="J1975" s="26"/>
    </row>
    <row r="1976">
      <c r="A1976" s="24"/>
      <c r="B1976" s="23"/>
      <c r="C1976" s="25"/>
      <c r="D1976" s="25"/>
      <c r="E1976" s="23"/>
      <c r="F1976" s="23"/>
      <c r="G1976" s="23"/>
      <c r="H1976" s="23"/>
      <c r="J1976" s="26"/>
    </row>
    <row r="1977">
      <c r="A1977" s="24"/>
      <c r="B1977" s="23"/>
      <c r="C1977" s="25"/>
      <c r="D1977" s="25"/>
      <c r="E1977" s="23"/>
      <c r="F1977" s="23"/>
      <c r="G1977" s="23"/>
      <c r="H1977" s="23"/>
      <c r="J1977" s="26"/>
    </row>
    <row r="1978">
      <c r="A1978" s="24"/>
      <c r="B1978" s="23"/>
      <c r="C1978" s="25"/>
      <c r="D1978" s="25"/>
      <c r="E1978" s="23"/>
      <c r="F1978" s="23"/>
      <c r="G1978" s="23"/>
      <c r="H1978" s="23"/>
      <c r="J1978" s="26"/>
    </row>
    <row r="1979">
      <c r="A1979" s="24"/>
      <c r="B1979" s="23"/>
      <c r="C1979" s="25"/>
      <c r="D1979" s="25"/>
      <c r="E1979" s="23"/>
      <c r="F1979" s="23"/>
      <c r="G1979" s="23"/>
      <c r="H1979" s="23"/>
      <c r="J1979" s="26"/>
    </row>
    <row r="1980">
      <c r="A1980" s="24"/>
      <c r="B1980" s="23"/>
      <c r="C1980" s="25"/>
      <c r="D1980" s="25"/>
      <c r="E1980" s="23"/>
      <c r="F1980" s="23"/>
      <c r="G1980" s="23"/>
      <c r="H1980" s="23"/>
      <c r="J1980" s="26"/>
    </row>
    <row r="1981">
      <c r="A1981" s="24"/>
      <c r="B1981" s="23"/>
      <c r="C1981" s="25"/>
      <c r="D1981" s="25"/>
      <c r="E1981" s="23"/>
      <c r="F1981" s="23"/>
      <c r="G1981" s="23"/>
      <c r="H1981" s="23"/>
      <c r="J1981" s="26"/>
    </row>
    <row r="1982">
      <c r="A1982" s="24"/>
      <c r="B1982" s="23"/>
      <c r="C1982" s="25"/>
      <c r="D1982" s="25"/>
      <c r="E1982" s="23"/>
      <c r="F1982" s="23"/>
      <c r="G1982" s="23"/>
      <c r="H1982" s="23"/>
      <c r="J1982" s="26"/>
    </row>
    <row r="1983">
      <c r="A1983" s="24"/>
      <c r="B1983" s="23"/>
      <c r="C1983" s="25"/>
      <c r="D1983" s="25"/>
      <c r="E1983" s="23"/>
      <c r="F1983" s="23"/>
      <c r="G1983" s="23"/>
      <c r="H1983" s="23"/>
      <c r="J1983" s="26"/>
    </row>
    <row r="1984">
      <c r="A1984" s="24"/>
      <c r="B1984" s="23"/>
      <c r="C1984" s="25"/>
      <c r="D1984" s="25"/>
      <c r="E1984" s="23"/>
      <c r="F1984" s="23"/>
      <c r="G1984" s="23"/>
      <c r="H1984" s="23"/>
      <c r="J1984" s="26"/>
    </row>
    <row r="1985">
      <c r="A1985" s="24"/>
      <c r="B1985" s="23"/>
      <c r="C1985" s="25"/>
      <c r="D1985" s="25"/>
      <c r="E1985" s="23"/>
      <c r="F1985" s="23"/>
      <c r="G1985" s="23"/>
      <c r="H1985" s="23"/>
      <c r="J1985" s="26"/>
    </row>
    <row r="1986">
      <c r="A1986" s="24"/>
      <c r="B1986" s="23"/>
      <c r="C1986" s="25"/>
      <c r="D1986" s="25"/>
      <c r="E1986" s="23"/>
      <c r="F1986" s="23"/>
      <c r="G1986" s="23"/>
      <c r="H1986" s="23"/>
      <c r="J1986" s="26"/>
    </row>
    <row r="1987">
      <c r="A1987" s="24"/>
      <c r="B1987" s="23"/>
      <c r="C1987" s="25"/>
      <c r="D1987" s="25"/>
      <c r="E1987" s="23"/>
      <c r="F1987" s="23"/>
      <c r="G1987" s="23"/>
      <c r="H1987" s="23"/>
      <c r="J1987" s="26"/>
    </row>
    <row r="1988">
      <c r="A1988" s="24"/>
      <c r="B1988" s="23"/>
      <c r="C1988" s="25"/>
      <c r="D1988" s="25"/>
      <c r="E1988" s="23"/>
      <c r="F1988" s="23"/>
      <c r="G1988" s="23"/>
      <c r="H1988" s="23"/>
      <c r="J1988" s="26"/>
    </row>
    <row r="1989">
      <c r="A1989" s="24"/>
      <c r="B1989" s="23"/>
      <c r="C1989" s="25"/>
      <c r="D1989" s="25"/>
      <c r="E1989" s="23"/>
      <c r="F1989" s="23"/>
      <c r="G1989" s="23"/>
      <c r="H1989" s="23"/>
      <c r="J1989" s="26"/>
    </row>
    <row r="1990">
      <c r="A1990" s="24"/>
      <c r="B1990" s="23"/>
      <c r="C1990" s="25"/>
      <c r="D1990" s="25"/>
      <c r="E1990" s="23"/>
      <c r="F1990" s="23"/>
      <c r="G1990" s="23"/>
      <c r="H1990" s="23"/>
      <c r="J1990" s="26"/>
    </row>
    <row r="1991">
      <c r="A1991" s="24"/>
      <c r="B1991" s="23"/>
      <c r="C1991" s="25"/>
      <c r="D1991" s="25"/>
      <c r="E1991" s="23"/>
      <c r="F1991" s="23"/>
      <c r="G1991" s="23"/>
      <c r="H1991" s="23"/>
      <c r="J1991" s="26"/>
    </row>
    <row r="1992">
      <c r="A1992" s="24"/>
      <c r="B1992" s="23"/>
      <c r="C1992" s="25"/>
      <c r="D1992" s="25"/>
      <c r="E1992" s="23"/>
      <c r="F1992" s="23"/>
      <c r="G1992" s="23"/>
      <c r="H1992" s="23"/>
      <c r="J1992" s="26"/>
    </row>
    <row r="1993">
      <c r="A1993" s="24"/>
      <c r="B1993" s="23"/>
      <c r="C1993" s="25"/>
      <c r="D1993" s="25"/>
      <c r="E1993" s="23"/>
      <c r="F1993" s="23"/>
      <c r="G1993" s="23"/>
      <c r="H1993" s="23"/>
      <c r="J1993" s="26"/>
    </row>
    <row r="1994">
      <c r="A1994" s="24"/>
      <c r="B1994" s="23"/>
      <c r="C1994" s="25"/>
      <c r="D1994" s="25"/>
      <c r="E1994" s="23"/>
      <c r="F1994" s="23"/>
      <c r="G1994" s="23"/>
      <c r="H1994" s="23"/>
      <c r="J1994" s="26"/>
    </row>
    <row r="1995">
      <c r="A1995" s="24"/>
      <c r="B1995" s="23"/>
      <c r="C1995" s="25"/>
      <c r="D1995" s="25"/>
      <c r="E1995" s="23"/>
      <c r="F1995" s="23"/>
      <c r="G1995" s="23"/>
      <c r="H1995" s="23"/>
      <c r="J1995" s="26"/>
    </row>
    <row r="1996">
      <c r="A1996" s="24"/>
      <c r="B1996" s="23"/>
      <c r="C1996" s="25"/>
      <c r="D1996" s="25"/>
      <c r="E1996" s="23"/>
      <c r="F1996" s="23"/>
      <c r="G1996" s="23"/>
      <c r="H1996" s="23"/>
      <c r="J1996" s="26"/>
    </row>
    <row r="1997">
      <c r="A1997" s="24"/>
      <c r="B1997" s="23"/>
      <c r="C1997" s="25"/>
      <c r="D1997" s="25"/>
      <c r="E1997" s="23"/>
      <c r="F1997" s="23"/>
      <c r="G1997" s="23"/>
      <c r="H1997" s="23"/>
      <c r="J1997" s="26"/>
    </row>
    <row r="1998">
      <c r="A1998" s="24"/>
      <c r="B1998" s="23"/>
      <c r="C1998" s="25"/>
      <c r="D1998" s="25"/>
      <c r="E1998" s="23"/>
      <c r="F1998" s="23"/>
      <c r="G1998" s="23"/>
      <c r="H1998" s="23"/>
      <c r="J1998" s="26"/>
    </row>
    <row r="1999">
      <c r="A1999" s="24"/>
      <c r="B1999" s="23"/>
      <c r="C1999" s="25"/>
      <c r="D1999" s="25"/>
      <c r="E1999" s="23"/>
      <c r="F1999" s="23"/>
      <c r="G1999" s="23"/>
      <c r="H1999" s="23"/>
      <c r="J1999" s="26"/>
    </row>
    <row r="2000">
      <c r="A2000" s="24"/>
      <c r="B2000" s="23"/>
      <c r="C2000" s="25"/>
      <c r="D2000" s="25"/>
      <c r="E2000" s="23"/>
      <c r="F2000" s="23"/>
      <c r="G2000" s="23"/>
      <c r="H2000" s="23"/>
      <c r="J2000" s="26"/>
    </row>
    <row r="2001">
      <c r="A2001" s="24"/>
      <c r="B2001" s="23"/>
      <c r="C2001" s="25"/>
      <c r="D2001" s="25"/>
      <c r="E2001" s="23"/>
      <c r="F2001" s="23"/>
      <c r="G2001" s="23"/>
      <c r="H2001" s="23"/>
      <c r="J2001" s="26"/>
    </row>
    <row r="2002">
      <c r="A2002" s="24"/>
      <c r="B2002" s="23"/>
      <c r="C2002" s="25"/>
      <c r="D2002" s="25"/>
      <c r="E2002" s="23"/>
      <c r="F2002" s="23"/>
      <c r="G2002" s="23"/>
      <c r="H2002" s="23"/>
      <c r="J2002" s="26"/>
    </row>
    <row r="2003">
      <c r="A2003" s="24"/>
      <c r="B2003" s="23"/>
      <c r="C2003" s="25"/>
      <c r="D2003" s="25"/>
      <c r="E2003" s="23"/>
      <c r="F2003" s="23"/>
      <c r="G2003" s="23"/>
      <c r="H2003" s="23"/>
      <c r="J2003" s="26"/>
    </row>
    <row r="2004">
      <c r="A2004" s="24"/>
      <c r="B2004" s="23"/>
      <c r="C2004" s="25"/>
      <c r="D2004" s="25"/>
      <c r="E2004" s="23"/>
      <c r="F2004" s="23"/>
      <c r="G2004" s="23"/>
      <c r="H2004" s="23"/>
      <c r="J2004" s="26"/>
    </row>
    <row r="2005">
      <c r="A2005" s="24"/>
      <c r="B2005" s="23"/>
      <c r="C2005" s="25"/>
      <c r="D2005" s="25"/>
      <c r="E2005" s="23"/>
      <c r="F2005" s="23"/>
      <c r="G2005" s="23"/>
      <c r="H2005" s="23"/>
      <c r="J2005" s="26"/>
    </row>
    <row r="2006">
      <c r="A2006" s="24"/>
      <c r="B2006" s="23"/>
      <c r="C2006" s="25"/>
      <c r="D2006" s="25"/>
      <c r="E2006" s="23"/>
      <c r="F2006" s="23"/>
      <c r="G2006" s="23"/>
      <c r="H2006" s="23"/>
      <c r="J2006" s="26"/>
    </row>
    <row r="2007">
      <c r="A2007" s="24"/>
      <c r="B2007" s="23"/>
      <c r="C2007" s="25"/>
      <c r="D2007" s="25"/>
      <c r="E2007" s="23"/>
      <c r="F2007" s="23"/>
      <c r="G2007" s="23"/>
      <c r="H2007" s="23"/>
      <c r="J2007" s="26"/>
    </row>
    <row r="2008">
      <c r="A2008" s="24"/>
      <c r="B2008" s="23"/>
      <c r="C2008" s="25"/>
      <c r="D2008" s="25"/>
      <c r="E2008" s="23"/>
      <c r="F2008" s="23"/>
      <c r="G2008" s="23"/>
      <c r="H2008" s="23"/>
      <c r="J2008" s="26"/>
    </row>
    <row r="2009">
      <c r="A2009" s="24"/>
      <c r="B2009" s="23"/>
      <c r="C2009" s="25"/>
      <c r="D2009" s="25"/>
      <c r="E2009" s="23"/>
      <c r="F2009" s="23"/>
      <c r="G2009" s="23"/>
      <c r="H2009" s="23"/>
      <c r="J2009" s="26"/>
    </row>
    <row r="2010">
      <c r="A2010" s="24"/>
      <c r="B2010" s="23"/>
      <c r="C2010" s="25"/>
      <c r="D2010" s="25"/>
      <c r="E2010" s="23"/>
      <c r="F2010" s="23"/>
      <c r="G2010" s="23"/>
      <c r="H2010" s="23"/>
      <c r="J2010" s="26"/>
    </row>
    <row r="2011">
      <c r="A2011" s="24"/>
      <c r="B2011" s="23"/>
      <c r="C2011" s="25"/>
      <c r="D2011" s="25"/>
      <c r="E2011" s="23"/>
      <c r="F2011" s="23"/>
      <c r="G2011" s="23"/>
      <c r="H2011" s="23"/>
      <c r="J2011" s="26"/>
    </row>
    <row r="2012">
      <c r="A2012" s="24"/>
      <c r="B2012" s="23"/>
      <c r="C2012" s="25"/>
      <c r="D2012" s="25"/>
      <c r="E2012" s="23"/>
      <c r="F2012" s="23"/>
      <c r="G2012" s="23"/>
      <c r="H2012" s="23"/>
      <c r="J2012" s="26"/>
    </row>
    <row r="2013">
      <c r="A2013" s="24"/>
      <c r="B2013" s="23"/>
      <c r="C2013" s="25"/>
      <c r="D2013" s="25"/>
      <c r="E2013" s="23"/>
      <c r="F2013" s="23"/>
      <c r="G2013" s="23"/>
      <c r="H2013" s="23"/>
      <c r="J2013" s="26"/>
    </row>
    <row r="2014">
      <c r="A2014" s="24"/>
      <c r="B2014" s="23"/>
      <c r="C2014" s="25"/>
      <c r="D2014" s="25"/>
      <c r="E2014" s="23"/>
      <c r="F2014" s="23"/>
      <c r="G2014" s="23"/>
      <c r="H2014" s="23"/>
      <c r="J2014" s="26"/>
    </row>
    <row r="2015">
      <c r="A2015" s="24"/>
      <c r="B2015" s="23"/>
      <c r="C2015" s="25"/>
      <c r="D2015" s="25"/>
      <c r="E2015" s="23"/>
      <c r="F2015" s="23"/>
      <c r="G2015" s="23"/>
      <c r="H2015" s="23"/>
      <c r="J2015" s="26"/>
    </row>
    <row r="2016">
      <c r="A2016" s="24"/>
      <c r="B2016" s="23"/>
      <c r="C2016" s="25"/>
      <c r="D2016" s="25"/>
      <c r="E2016" s="23"/>
      <c r="F2016" s="23"/>
      <c r="G2016" s="23"/>
      <c r="H2016" s="23"/>
      <c r="J2016" s="26"/>
    </row>
    <row r="2017">
      <c r="A2017" s="24"/>
      <c r="B2017" s="23"/>
      <c r="C2017" s="25"/>
      <c r="D2017" s="25"/>
      <c r="E2017" s="23"/>
      <c r="F2017" s="23"/>
      <c r="G2017" s="23"/>
      <c r="H2017" s="23"/>
      <c r="J2017" s="26"/>
    </row>
    <row r="2018">
      <c r="A2018" s="24"/>
      <c r="B2018" s="23"/>
      <c r="C2018" s="25"/>
      <c r="D2018" s="25"/>
      <c r="E2018" s="23"/>
      <c r="F2018" s="23"/>
      <c r="G2018" s="23"/>
      <c r="H2018" s="23"/>
      <c r="J2018" s="26"/>
    </row>
    <row r="2019">
      <c r="A2019" s="24"/>
      <c r="B2019" s="23"/>
      <c r="C2019" s="25"/>
      <c r="D2019" s="25"/>
      <c r="E2019" s="23"/>
      <c r="F2019" s="23"/>
      <c r="G2019" s="23"/>
      <c r="H2019" s="23"/>
      <c r="J2019" s="26"/>
    </row>
    <row r="2020">
      <c r="A2020" s="24"/>
      <c r="B2020" s="23"/>
      <c r="C2020" s="25"/>
      <c r="D2020" s="25"/>
      <c r="E2020" s="23"/>
      <c r="F2020" s="23"/>
      <c r="G2020" s="23"/>
      <c r="H2020" s="23"/>
      <c r="J2020" s="26"/>
    </row>
    <row r="2021">
      <c r="A2021" s="24"/>
      <c r="B2021" s="23"/>
      <c r="C2021" s="25"/>
      <c r="D2021" s="25"/>
      <c r="E2021" s="23"/>
      <c r="F2021" s="23"/>
      <c r="G2021" s="23"/>
      <c r="H2021" s="23"/>
      <c r="J2021" s="26"/>
    </row>
    <row r="2022">
      <c r="A2022" s="24"/>
      <c r="B2022" s="23"/>
      <c r="C2022" s="25"/>
      <c r="D2022" s="25"/>
      <c r="E2022" s="23"/>
      <c r="F2022" s="23"/>
      <c r="G2022" s="23"/>
      <c r="H2022" s="23"/>
      <c r="J2022" s="26"/>
    </row>
    <row r="2023">
      <c r="A2023" s="24"/>
      <c r="B2023" s="23"/>
      <c r="C2023" s="25"/>
      <c r="D2023" s="25"/>
      <c r="E2023" s="23"/>
      <c r="F2023" s="23"/>
      <c r="G2023" s="23"/>
      <c r="H2023" s="23"/>
      <c r="J2023" s="26"/>
    </row>
    <row r="2024">
      <c r="A2024" s="24"/>
      <c r="B2024" s="23"/>
      <c r="C2024" s="25"/>
      <c r="D2024" s="25"/>
      <c r="E2024" s="23"/>
      <c r="F2024" s="23"/>
      <c r="G2024" s="23"/>
      <c r="H2024" s="23"/>
      <c r="J2024" s="26"/>
    </row>
    <row r="2025">
      <c r="A2025" s="24"/>
      <c r="B2025" s="23"/>
      <c r="C2025" s="25"/>
      <c r="D2025" s="25"/>
      <c r="E2025" s="23"/>
      <c r="F2025" s="23"/>
      <c r="G2025" s="23"/>
      <c r="H2025" s="23"/>
      <c r="J2025" s="26"/>
    </row>
    <row r="2026">
      <c r="A2026" s="24"/>
      <c r="B2026" s="23"/>
      <c r="C2026" s="25"/>
      <c r="D2026" s="25"/>
      <c r="E2026" s="23"/>
      <c r="F2026" s="23"/>
      <c r="G2026" s="23"/>
      <c r="H2026" s="23"/>
      <c r="J2026" s="26"/>
    </row>
    <row r="2027">
      <c r="A2027" s="24"/>
      <c r="B2027" s="23"/>
      <c r="C2027" s="25"/>
      <c r="D2027" s="25"/>
      <c r="E2027" s="23"/>
      <c r="F2027" s="23"/>
      <c r="G2027" s="23"/>
      <c r="H2027" s="23"/>
      <c r="J2027" s="26"/>
    </row>
    <row r="2028">
      <c r="A2028" s="24"/>
      <c r="B2028" s="23"/>
      <c r="C2028" s="25"/>
      <c r="D2028" s="25"/>
      <c r="E2028" s="23"/>
      <c r="F2028" s="23"/>
      <c r="G2028" s="23"/>
      <c r="H2028" s="23"/>
      <c r="J2028" s="26"/>
    </row>
    <row r="2029">
      <c r="A2029" s="24"/>
      <c r="B2029" s="23"/>
      <c r="C2029" s="25"/>
      <c r="D2029" s="25"/>
      <c r="E2029" s="23"/>
      <c r="F2029" s="23"/>
      <c r="G2029" s="23"/>
      <c r="H2029" s="23"/>
      <c r="J2029" s="26"/>
    </row>
    <row r="2030">
      <c r="A2030" s="24"/>
      <c r="B2030" s="23"/>
      <c r="C2030" s="25"/>
      <c r="D2030" s="25"/>
      <c r="E2030" s="23"/>
      <c r="F2030" s="23"/>
      <c r="G2030" s="23"/>
      <c r="H2030" s="23"/>
      <c r="J2030" s="26"/>
    </row>
    <row r="2031">
      <c r="A2031" s="24"/>
      <c r="B2031" s="23"/>
      <c r="C2031" s="25"/>
      <c r="D2031" s="25"/>
      <c r="E2031" s="23"/>
      <c r="F2031" s="23"/>
      <c r="G2031" s="23"/>
      <c r="H2031" s="23"/>
      <c r="J2031" s="26"/>
    </row>
    <row r="2032">
      <c r="A2032" s="24"/>
      <c r="B2032" s="23"/>
      <c r="C2032" s="25"/>
      <c r="D2032" s="25"/>
      <c r="E2032" s="23"/>
      <c r="F2032" s="23"/>
      <c r="G2032" s="23"/>
      <c r="H2032" s="23"/>
      <c r="J2032" s="26"/>
    </row>
    <row r="2033">
      <c r="A2033" s="24"/>
      <c r="B2033" s="23"/>
      <c r="C2033" s="25"/>
      <c r="D2033" s="25"/>
      <c r="E2033" s="23"/>
      <c r="F2033" s="23"/>
      <c r="G2033" s="23"/>
      <c r="H2033" s="23"/>
      <c r="J2033" s="26"/>
    </row>
    <row r="2034">
      <c r="A2034" s="24"/>
      <c r="B2034" s="23"/>
      <c r="C2034" s="25"/>
      <c r="D2034" s="25"/>
      <c r="E2034" s="23"/>
      <c r="F2034" s="23"/>
      <c r="G2034" s="23"/>
      <c r="H2034" s="23"/>
      <c r="J2034" s="26"/>
    </row>
    <row r="2035">
      <c r="A2035" s="24"/>
      <c r="B2035" s="23"/>
      <c r="C2035" s="25"/>
      <c r="D2035" s="25"/>
      <c r="E2035" s="23"/>
      <c r="F2035" s="23"/>
      <c r="G2035" s="23"/>
      <c r="H2035" s="23"/>
      <c r="J2035" s="26"/>
    </row>
    <row r="2036">
      <c r="A2036" s="24"/>
      <c r="B2036" s="23"/>
      <c r="C2036" s="25"/>
      <c r="D2036" s="25"/>
      <c r="E2036" s="23"/>
      <c r="F2036" s="23"/>
      <c r="G2036" s="23"/>
      <c r="H2036" s="23"/>
      <c r="J2036" s="26"/>
    </row>
    <row r="2037">
      <c r="A2037" s="24"/>
      <c r="B2037" s="23"/>
      <c r="C2037" s="25"/>
      <c r="D2037" s="25"/>
      <c r="E2037" s="23"/>
      <c r="F2037" s="23"/>
      <c r="G2037" s="23"/>
      <c r="H2037" s="23"/>
      <c r="J2037" s="26"/>
    </row>
    <row r="2038">
      <c r="A2038" s="24"/>
      <c r="B2038" s="23"/>
      <c r="C2038" s="25"/>
      <c r="D2038" s="25"/>
      <c r="E2038" s="23"/>
      <c r="F2038" s="23"/>
      <c r="G2038" s="23"/>
      <c r="H2038" s="23"/>
      <c r="J2038" s="26"/>
    </row>
    <row r="2039">
      <c r="A2039" s="24"/>
      <c r="B2039" s="23"/>
      <c r="C2039" s="25"/>
      <c r="D2039" s="25"/>
      <c r="E2039" s="23"/>
      <c r="F2039" s="23"/>
      <c r="G2039" s="23"/>
      <c r="H2039" s="23"/>
      <c r="J2039" s="26"/>
    </row>
    <row r="2040">
      <c r="A2040" s="24"/>
      <c r="B2040" s="23"/>
      <c r="C2040" s="25"/>
      <c r="D2040" s="25"/>
      <c r="E2040" s="23"/>
      <c r="F2040" s="23"/>
      <c r="G2040" s="23"/>
      <c r="H2040" s="23"/>
      <c r="J2040" s="26"/>
    </row>
    <row r="2041">
      <c r="A2041" s="24"/>
      <c r="B2041" s="23"/>
      <c r="C2041" s="25"/>
      <c r="D2041" s="25"/>
      <c r="E2041" s="23"/>
      <c r="F2041" s="23"/>
      <c r="G2041" s="23"/>
      <c r="H2041" s="23"/>
      <c r="J2041" s="26"/>
    </row>
    <row r="2042">
      <c r="A2042" s="24"/>
      <c r="B2042" s="23"/>
      <c r="C2042" s="25"/>
      <c r="D2042" s="25"/>
      <c r="E2042" s="23"/>
      <c r="F2042" s="23"/>
      <c r="G2042" s="23"/>
      <c r="H2042" s="23"/>
      <c r="J2042" s="26"/>
    </row>
    <row r="2043">
      <c r="A2043" s="24"/>
      <c r="B2043" s="23"/>
      <c r="C2043" s="25"/>
      <c r="D2043" s="25"/>
      <c r="E2043" s="23"/>
      <c r="F2043" s="23"/>
      <c r="G2043" s="23"/>
      <c r="H2043" s="23"/>
      <c r="J2043" s="26"/>
    </row>
    <row r="2044">
      <c r="A2044" s="24"/>
      <c r="B2044" s="23"/>
      <c r="C2044" s="25"/>
      <c r="D2044" s="25"/>
      <c r="E2044" s="23"/>
      <c r="F2044" s="23"/>
      <c r="G2044" s="23"/>
      <c r="H2044" s="23"/>
      <c r="J2044" s="26"/>
    </row>
    <row r="2045">
      <c r="A2045" s="24"/>
      <c r="B2045" s="23"/>
      <c r="C2045" s="25"/>
      <c r="D2045" s="25"/>
      <c r="E2045" s="23"/>
      <c r="F2045" s="23"/>
      <c r="G2045" s="23"/>
      <c r="H2045" s="23"/>
      <c r="J2045" s="26"/>
    </row>
    <row r="2046">
      <c r="A2046" s="24"/>
      <c r="B2046" s="23"/>
      <c r="C2046" s="25"/>
      <c r="D2046" s="25"/>
      <c r="E2046" s="23"/>
      <c r="F2046" s="23"/>
      <c r="G2046" s="23"/>
      <c r="H2046" s="23"/>
      <c r="J2046" s="26"/>
    </row>
    <row r="2047">
      <c r="A2047" s="24"/>
      <c r="B2047" s="23"/>
      <c r="C2047" s="25"/>
      <c r="D2047" s="25"/>
      <c r="E2047" s="23"/>
      <c r="F2047" s="23"/>
      <c r="G2047" s="23"/>
      <c r="H2047" s="23"/>
      <c r="J2047" s="26"/>
    </row>
    <row r="2048">
      <c r="A2048" s="24"/>
      <c r="B2048" s="23"/>
      <c r="C2048" s="25"/>
      <c r="D2048" s="25"/>
      <c r="E2048" s="23"/>
      <c r="F2048" s="23"/>
      <c r="G2048" s="23"/>
      <c r="H2048" s="23"/>
      <c r="J2048" s="26"/>
    </row>
    <row r="2049">
      <c r="A2049" s="24"/>
      <c r="B2049" s="23"/>
      <c r="C2049" s="25"/>
      <c r="D2049" s="25"/>
      <c r="E2049" s="23"/>
      <c r="F2049" s="23"/>
      <c r="G2049" s="23"/>
      <c r="H2049" s="23"/>
      <c r="J2049" s="26"/>
    </row>
    <row r="2050">
      <c r="A2050" s="24"/>
      <c r="B2050" s="23"/>
      <c r="C2050" s="25"/>
      <c r="D2050" s="25"/>
      <c r="E2050" s="23"/>
      <c r="F2050" s="23"/>
      <c r="G2050" s="23"/>
      <c r="H2050" s="23"/>
      <c r="J2050" s="26"/>
    </row>
    <row r="2051">
      <c r="A2051" s="24"/>
      <c r="B2051" s="23"/>
      <c r="C2051" s="25"/>
      <c r="D2051" s="25"/>
      <c r="E2051" s="23"/>
      <c r="F2051" s="23"/>
      <c r="G2051" s="23"/>
      <c r="H2051" s="23"/>
      <c r="J2051" s="26"/>
    </row>
    <row r="2052">
      <c r="A2052" s="24"/>
      <c r="B2052" s="23"/>
      <c r="C2052" s="25"/>
      <c r="D2052" s="25"/>
      <c r="E2052" s="23"/>
      <c r="F2052" s="23"/>
      <c r="G2052" s="23"/>
      <c r="H2052" s="23"/>
      <c r="J2052" s="26"/>
    </row>
    <row r="2053">
      <c r="A2053" s="24"/>
      <c r="B2053" s="23"/>
      <c r="C2053" s="25"/>
      <c r="D2053" s="25"/>
      <c r="E2053" s="23"/>
      <c r="F2053" s="23"/>
      <c r="G2053" s="23"/>
      <c r="H2053" s="23"/>
      <c r="J2053" s="26"/>
    </row>
    <row r="2054">
      <c r="A2054" s="24"/>
      <c r="B2054" s="23"/>
      <c r="C2054" s="25"/>
      <c r="D2054" s="25"/>
      <c r="E2054" s="23"/>
      <c r="F2054" s="23"/>
      <c r="G2054" s="23"/>
      <c r="H2054" s="23"/>
      <c r="J2054" s="26"/>
    </row>
    <row r="2055">
      <c r="A2055" s="24"/>
      <c r="B2055" s="23"/>
      <c r="C2055" s="25"/>
      <c r="D2055" s="25"/>
      <c r="E2055" s="23"/>
      <c r="F2055" s="23"/>
      <c r="G2055" s="23"/>
      <c r="H2055" s="23"/>
      <c r="J2055" s="26"/>
    </row>
    <row r="2056">
      <c r="A2056" s="24"/>
      <c r="B2056" s="23"/>
      <c r="C2056" s="25"/>
      <c r="D2056" s="25"/>
      <c r="E2056" s="23"/>
      <c r="F2056" s="23"/>
      <c r="G2056" s="23"/>
      <c r="H2056" s="23"/>
      <c r="J2056" s="26"/>
    </row>
    <row r="2057">
      <c r="A2057" s="24"/>
      <c r="B2057" s="23"/>
      <c r="C2057" s="25"/>
      <c r="D2057" s="25"/>
      <c r="E2057" s="23"/>
      <c r="F2057" s="23"/>
      <c r="G2057" s="23"/>
      <c r="H2057" s="23"/>
      <c r="J2057" s="26"/>
    </row>
    <row r="2058">
      <c r="A2058" s="24"/>
      <c r="B2058" s="23"/>
      <c r="C2058" s="25"/>
      <c r="D2058" s="25"/>
      <c r="E2058" s="23"/>
      <c r="F2058" s="23"/>
      <c r="G2058" s="23"/>
      <c r="H2058" s="23"/>
      <c r="J2058" s="26"/>
    </row>
    <row r="2059">
      <c r="A2059" s="24"/>
      <c r="B2059" s="23"/>
      <c r="C2059" s="25"/>
      <c r="D2059" s="25"/>
      <c r="E2059" s="23"/>
      <c r="F2059" s="23"/>
      <c r="G2059" s="23"/>
      <c r="H2059" s="23"/>
      <c r="J2059" s="26"/>
    </row>
    <row r="2060">
      <c r="A2060" s="24"/>
      <c r="B2060" s="23"/>
      <c r="C2060" s="25"/>
      <c r="D2060" s="25"/>
      <c r="E2060" s="23"/>
      <c r="F2060" s="23"/>
      <c r="G2060" s="23"/>
      <c r="H2060" s="23"/>
      <c r="J2060" s="26"/>
    </row>
    <row r="2061">
      <c r="A2061" s="24"/>
      <c r="B2061" s="23"/>
      <c r="C2061" s="25"/>
      <c r="D2061" s="25"/>
      <c r="E2061" s="23"/>
      <c r="F2061" s="23"/>
      <c r="G2061" s="23"/>
      <c r="H2061" s="23"/>
      <c r="J2061" s="26"/>
    </row>
    <row r="2062">
      <c r="A2062" s="24"/>
      <c r="B2062" s="23"/>
      <c r="C2062" s="25"/>
      <c r="D2062" s="25"/>
      <c r="E2062" s="23"/>
      <c r="F2062" s="23"/>
      <c r="G2062" s="23"/>
      <c r="H2062" s="23"/>
      <c r="J2062" s="26"/>
    </row>
    <row r="2063">
      <c r="A2063" s="24"/>
      <c r="B2063" s="23"/>
      <c r="C2063" s="25"/>
      <c r="D2063" s="25"/>
      <c r="E2063" s="23"/>
      <c r="F2063" s="23"/>
      <c r="G2063" s="23"/>
      <c r="H2063" s="23"/>
      <c r="J2063" s="26"/>
    </row>
    <row r="2064">
      <c r="A2064" s="24"/>
      <c r="B2064" s="23"/>
      <c r="C2064" s="25"/>
      <c r="D2064" s="25"/>
      <c r="E2064" s="23"/>
      <c r="F2064" s="23"/>
      <c r="G2064" s="23"/>
      <c r="H2064" s="23"/>
      <c r="J2064" s="26"/>
    </row>
    <row r="2065">
      <c r="A2065" s="24"/>
      <c r="B2065" s="23"/>
      <c r="C2065" s="25"/>
      <c r="D2065" s="25"/>
      <c r="E2065" s="23"/>
      <c r="F2065" s="23"/>
      <c r="G2065" s="23"/>
      <c r="H2065" s="23"/>
      <c r="J2065" s="26"/>
    </row>
    <row r="2066">
      <c r="A2066" s="24"/>
      <c r="B2066" s="23"/>
      <c r="C2066" s="25"/>
      <c r="D2066" s="25"/>
      <c r="E2066" s="23"/>
      <c r="F2066" s="23"/>
      <c r="G2066" s="23"/>
      <c r="H2066" s="23"/>
      <c r="J2066" s="26"/>
    </row>
    <row r="2067">
      <c r="A2067" s="24"/>
      <c r="B2067" s="23"/>
      <c r="C2067" s="25"/>
      <c r="D2067" s="25"/>
      <c r="E2067" s="23"/>
      <c r="F2067" s="23"/>
      <c r="G2067" s="23"/>
      <c r="H2067" s="23"/>
      <c r="J2067" s="26"/>
    </row>
    <row r="2068">
      <c r="A2068" s="24"/>
      <c r="B2068" s="23"/>
      <c r="C2068" s="25"/>
      <c r="D2068" s="25"/>
      <c r="E2068" s="23"/>
      <c r="F2068" s="23"/>
      <c r="G2068" s="23"/>
      <c r="H2068" s="23"/>
      <c r="J2068" s="26"/>
    </row>
    <row r="2069">
      <c r="A2069" s="24"/>
      <c r="B2069" s="23"/>
      <c r="C2069" s="25"/>
      <c r="D2069" s="25"/>
      <c r="E2069" s="23"/>
      <c r="F2069" s="23"/>
      <c r="G2069" s="23"/>
      <c r="H2069" s="23"/>
      <c r="J2069" s="26"/>
    </row>
    <row r="2070">
      <c r="A2070" s="24"/>
      <c r="B2070" s="23"/>
      <c r="C2070" s="25"/>
      <c r="D2070" s="25"/>
      <c r="E2070" s="23"/>
      <c r="F2070" s="23"/>
      <c r="G2070" s="23"/>
      <c r="H2070" s="23"/>
      <c r="J2070" s="26"/>
    </row>
    <row r="2071">
      <c r="A2071" s="24"/>
      <c r="B2071" s="23"/>
      <c r="C2071" s="25"/>
      <c r="D2071" s="25"/>
      <c r="E2071" s="23"/>
      <c r="F2071" s="23"/>
      <c r="G2071" s="23"/>
      <c r="H2071" s="23"/>
      <c r="J2071" s="26"/>
    </row>
    <row r="2072">
      <c r="A2072" s="24"/>
      <c r="B2072" s="23"/>
      <c r="C2072" s="25"/>
      <c r="D2072" s="25"/>
      <c r="E2072" s="23"/>
      <c r="F2072" s="23"/>
      <c r="G2072" s="23"/>
      <c r="H2072" s="23"/>
      <c r="J2072" s="26"/>
    </row>
    <row r="2073">
      <c r="A2073" s="24"/>
      <c r="B2073" s="23"/>
      <c r="C2073" s="25"/>
      <c r="D2073" s="25"/>
      <c r="E2073" s="23"/>
      <c r="F2073" s="23"/>
      <c r="G2073" s="23"/>
      <c r="H2073" s="23"/>
      <c r="J2073" s="26"/>
    </row>
    <row r="2074">
      <c r="A2074" s="24"/>
      <c r="B2074" s="23"/>
      <c r="C2074" s="25"/>
      <c r="D2074" s="25"/>
      <c r="E2074" s="23"/>
      <c r="F2074" s="23"/>
      <c r="G2074" s="23"/>
      <c r="H2074" s="23"/>
      <c r="J2074" s="26"/>
    </row>
    <row r="2075">
      <c r="A2075" s="24"/>
      <c r="B2075" s="23"/>
      <c r="C2075" s="25"/>
      <c r="D2075" s="25"/>
      <c r="E2075" s="23"/>
      <c r="F2075" s="23"/>
      <c r="G2075" s="23"/>
      <c r="H2075" s="23"/>
      <c r="J2075" s="26"/>
    </row>
    <row r="2076">
      <c r="A2076" s="24"/>
      <c r="B2076" s="23"/>
      <c r="C2076" s="25"/>
      <c r="D2076" s="25"/>
      <c r="E2076" s="23"/>
      <c r="F2076" s="23"/>
      <c r="G2076" s="23"/>
      <c r="H2076" s="23"/>
      <c r="J2076" s="26"/>
    </row>
    <row r="2077">
      <c r="A2077" s="24"/>
      <c r="B2077" s="23"/>
      <c r="C2077" s="25"/>
      <c r="D2077" s="25"/>
      <c r="E2077" s="23"/>
      <c r="F2077" s="23"/>
      <c r="G2077" s="23"/>
      <c r="H2077" s="23"/>
      <c r="J2077" s="26"/>
    </row>
    <row r="2078">
      <c r="A2078" s="24"/>
      <c r="B2078" s="23"/>
      <c r="C2078" s="25"/>
      <c r="D2078" s="25"/>
      <c r="E2078" s="23"/>
      <c r="F2078" s="23"/>
      <c r="G2078" s="23"/>
      <c r="H2078" s="23"/>
      <c r="J2078" s="26"/>
    </row>
    <row r="2079">
      <c r="A2079" s="24"/>
      <c r="B2079" s="23"/>
      <c r="C2079" s="25"/>
      <c r="D2079" s="25"/>
      <c r="E2079" s="23"/>
      <c r="F2079" s="23"/>
      <c r="G2079" s="23"/>
      <c r="H2079" s="23"/>
      <c r="J2079" s="26"/>
    </row>
    <row r="2080">
      <c r="A2080" s="24"/>
      <c r="B2080" s="23"/>
      <c r="C2080" s="25"/>
      <c r="D2080" s="25"/>
      <c r="E2080" s="23"/>
      <c r="F2080" s="23"/>
      <c r="G2080" s="23"/>
      <c r="H2080" s="23"/>
      <c r="J2080" s="26"/>
    </row>
    <row r="2081">
      <c r="A2081" s="24"/>
      <c r="B2081" s="23"/>
      <c r="C2081" s="25"/>
      <c r="D2081" s="25"/>
      <c r="E2081" s="23"/>
      <c r="F2081" s="23"/>
      <c r="G2081" s="23"/>
      <c r="H2081" s="23"/>
      <c r="J2081" s="26"/>
    </row>
    <row r="2082">
      <c r="A2082" s="24"/>
      <c r="B2082" s="23"/>
      <c r="C2082" s="25"/>
      <c r="D2082" s="25"/>
      <c r="E2082" s="23"/>
      <c r="F2082" s="23"/>
      <c r="G2082" s="23"/>
      <c r="H2082" s="23"/>
      <c r="J2082" s="26"/>
    </row>
    <row r="2083">
      <c r="A2083" s="24"/>
      <c r="B2083" s="23"/>
      <c r="C2083" s="25"/>
      <c r="D2083" s="25"/>
      <c r="E2083" s="23"/>
      <c r="F2083" s="23"/>
      <c r="G2083" s="23"/>
      <c r="H2083" s="23"/>
      <c r="J2083" s="26"/>
    </row>
    <row r="2084">
      <c r="A2084" s="24"/>
      <c r="B2084" s="23"/>
      <c r="C2084" s="25"/>
      <c r="D2084" s="25"/>
      <c r="E2084" s="23"/>
      <c r="F2084" s="23"/>
      <c r="G2084" s="23"/>
      <c r="H2084" s="23"/>
      <c r="J2084" s="26"/>
    </row>
    <row r="2085">
      <c r="A2085" s="24"/>
      <c r="B2085" s="23"/>
      <c r="C2085" s="25"/>
      <c r="D2085" s="25"/>
      <c r="E2085" s="23"/>
      <c r="F2085" s="23"/>
      <c r="G2085" s="23"/>
      <c r="H2085" s="23"/>
      <c r="J2085" s="26"/>
    </row>
    <row r="2086">
      <c r="A2086" s="24"/>
      <c r="B2086" s="23"/>
      <c r="C2086" s="25"/>
      <c r="D2086" s="25"/>
      <c r="E2086" s="23"/>
      <c r="F2086" s="23"/>
      <c r="G2086" s="23"/>
      <c r="H2086" s="23"/>
      <c r="J2086" s="26"/>
    </row>
    <row r="2087">
      <c r="A2087" s="24"/>
      <c r="B2087" s="23"/>
      <c r="C2087" s="25"/>
      <c r="D2087" s="25"/>
      <c r="E2087" s="23"/>
      <c r="F2087" s="23"/>
      <c r="G2087" s="23"/>
      <c r="H2087" s="23"/>
      <c r="J2087" s="26"/>
    </row>
    <row r="2088">
      <c r="A2088" s="24"/>
      <c r="B2088" s="23"/>
      <c r="C2088" s="25"/>
      <c r="D2088" s="25"/>
      <c r="E2088" s="23"/>
      <c r="F2088" s="23"/>
      <c r="G2088" s="23"/>
      <c r="H2088" s="23"/>
      <c r="J2088" s="26"/>
    </row>
    <row r="2089">
      <c r="A2089" s="24"/>
      <c r="B2089" s="23"/>
      <c r="C2089" s="25"/>
      <c r="D2089" s="25"/>
      <c r="E2089" s="23"/>
      <c r="F2089" s="23"/>
      <c r="G2089" s="23"/>
      <c r="H2089" s="23"/>
      <c r="J2089" s="26"/>
    </row>
    <row r="2090">
      <c r="A2090" s="24"/>
      <c r="B2090" s="23"/>
      <c r="C2090" s="25"/>
      <c r="D2090" s="25"/>
      <c r="E2090" s="23"/>
      <c r="F2090" s="23"/>
      <c r="G2090" s="23"/>
      <c r="H2090" s="23"/>
      <c r="J2090" s="26"/>
    </row>
    <row r="2091">
      <c r="A2091" s="24"/>
      <c r="B2091" s="23"/>
      <c r="C2091" s="25"/>
      <c r="D2091" s="25"/>
      <c r="E2091" s="23"/>
      <c r="F2091" s="23"/>
      <c r="G2091" s="23"/>
      <c r="H2091" s="23"/>
      <c r="J2091" s="26"/>
    </row>
    <row r="2092">
      <c r="A2092" s="24"/>
      <c r="B2092" s="23"/>
      <c r="C2092" s="25"/>
      <c r="D2092" s="25"/>
      <c r="E2092" s="23"/>
      <c r="F2092" s="23"/>
      <c r="G2092" s="23"/>
      <c r="H2092" s="23"/>
      <c r="J2092" s="26"/>
    </row>
    <row r="2093">
      <c r="A2093" s="24"/>
      <c r="B2093" s="23"/>
      <c r="C2093" s="25"/>
      <c r="D2093" s="25"/>
      <c r="E2093" s="23"/>
      <c r="F2093" s="23"/>
      <c r="G2093" s="23"/>
      <c r="H2093" s="23"/>
      <c r="J2093" s="26"/>
    </row>
    <row r="2094">
      <c r="A2094" s="24"/>
      <c r="B2094" s="23"/>
      <c r="C2094" s="25"/>
      <c r="D2094" s="25"/>
      <c r="E2094" s="23"/>
      <c r="F2094" s="23"/>
      <c r="G2094" s="23"/>
      <c r="H2094" s="23"/>
      <c r="J2094" s="26"/>
    </row>
    <row r="2095">
      <c r="A2095" s="24"/>
      <c r="B2095" s="23"/>
      <c r="C2095" s="25"/>
      <c r="D2095" s="25"/>
      <c r="E2095" s="23"/>
      <c r="F2095" s="23"/>
      <c r="G2095" s="23"/>
      <c r="H2095" s="23"/>
      <c r="J2095" s="26"/>
    </row>
    <row r="2096">
      <c r="A2096" s="24"/>
      <c r="B2096" s="23"/>
      <c r="C2096" s="25"/>
      <c r="D2096" s="25"/>
      <c r="E2096" s="23"/>
      <c r="F2096" s="23"/>
      <c r="G2096" s="23"/>
      <c r="H2096" s="23"/>
      <c r="J2096" s="26"/>
    </row>
    <row r="2097">
      <c r="A2097" s="24"/>
      <c r="B2097" s="23"/>
      <c r="C2097" s="25"/>
      <c r="D2097" s="25"/>
      <c r="E2097" s="23"/>
      <c r="F2097" s="23"/>
      <c r="G2097" s="23"/>
      <c r="H2097" s="23"/>
      <c r="J2097" s="26"/>
    </row>
  </sheetData>
  <mergeCells count="2">
    <mergeCell ref="A1:E1"/>
    <mergeCell ref="B2:D2"/>
  </mergeCells>
  <hyperlinks>
    <hyperlink r:id="rId1" ref="A1"/>
  </hyperlinks>
  <drawing r:id="rId2"/>
</worksheet>
</file>