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gia Elettrica " sheetId="1" r:id="rId4"/>
  </sheets>
  <definedNames/>
  <calcPr/>
</workbook>
</file>

<file path=xl/sharedStrings.xml><?xml version="1.0" encoding="utf-8"?>
<sst xmlns="http://schemas.openxmlformats.org/spreadsheetml/2006/main" count="15" uniqueCount="10">
  <si>
    <r>
      <rPr>
        <b/>
        <color rgb="FF1360AB"/>
        <sz val="16.0"/>
      </rPr>
      <t xml:space="preserve">Indice Selectra SQ dell'Energia Elettrica 
</t>
    </r>
    <r>
      <rPr>
        <sz val="7.0"/>
      </rPr>
      <t xml:space="preserve">
</t>
    </r>
    <r>
      <rPr>
        <b/>
      </rPr>
      <t xml:space="preserve">Monitoraggio dell’andamento dei prezzi fissi dell’energia elettrica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dell’energia elettrica sul mercato retail, mettendolo a confronto con il prezzo dell’energia sul Mercato Tutelato, il PUN e il prezzo forward dell'energia comunicato dal Gestore dei Mercati Energetici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</t>
    </r>
    <r>
      <rPr>
        <sz val="8.0"/>
      </rPr>
      <t>.</t>
    </r>
    <r>
      <rPr>
        <sz val="7.0"/>
      </rPr>
      <t xml:space="preserve"> 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</si>
  <si>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</si>
  <si>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(PE netta)</t>
    </r>
  </si>
  <si>
    <r>
      <rPr>
        <rFont val="Arial"/>
        <b/>
        <color rgb="FFFFFFFF"/>
      </rPr>
      <t xml:space="preserve">PUN
</t>
    </r>
    <r>
      <rPr>
        <rFont val="Arial"/>
        <b val="0"/>
        <color rgb="FFFFFFFF"/>
      </rPr>
      <t xml:space="preserve"> in media mobile a 7 giorni</t>
    </r>
  </si>
  <si>
    <r>
      <rPr>
        <rFont val="Arial"/>
        <b/>
        <color rgb="FFFFFFFF"/>
      </rPr>
      <t xml:space="preserve">Forward
</t>
    </r>
    <r>
      <rPr>
        <rFont val="Arial"/>
        <b val="0"/>
        <color rgb="FFFFFFFF"/>
      </rPr>
      <t xml:space="preserve"> in media mobile a 7 giorni</t>
    </r>
  </si>
  <si>
    <t xml:space="preserve">Tutelato netto </t>
  </si>
  <si>
    <t xml:space="preserve">Media prezzo fisso Libero </t>
  </si>
  <si>
    <t>Media offerte meno care</t>
  </si>
  <si>
    <t>Media offerte più care</t>
  </si>
  <si>
    <t>€/MWh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</si>
</sst>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dd/MM/yyyy"/>
    <numFmt numFmtId="166" formatCode="m/d/yyyy"/>
  </numFmts>
  <fonts count="11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color rgb="FFFFFFFF"/>
      <name val="Arial"/>
    </font>
    <font>
      <b/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9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right style="thin">
        <color rgb="FF1360AB"/>
      </right>
      <bottom style="thin">
        <color rgb="FF1360AB"/>
      </bottom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1" fillId="0" fontId="2" numFmtId="0" xfId="0" applyBorder="1" applyFont="1"/>
    <xf borderId="2" fillId="0" fontId="3" numFmtId="4" xfId="0" applyAlignment="1" applyBorder="1" applyFont="1" applyNumberFormat="1">
      <alignment horizontal="center" readingOrder="0" shrinkToFit="0" wrapText="1"/>
    </xf>
    <xf borderId="2" fillId="0" fontId="3" numFmtId="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top" wrapText="1"/>
    </xf>
    <xf borderId="4" fillId="2" fontId="5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6" fillId="0" fontId="2" numFmtId="0" xfId="0" applyBorder="1" applyFont="1"/>
    <xf borderId="3" fillId="2" fontId="5" numFmtId="0" xfId="0" applyAlignment="1" applyBorder="1" applyFont="1">
      <alignment horizontal="center" readingOrder="0" shrinkToFit="0" vertical="top" wrapText="1"/>
    </xf>
    <xf borderId="3" fillId="2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7" fillId="0" fontId="2" numFmtId="0" xfId="0" applyBorder="1" applyFont="1"/>
    <xf borderId="8" fillId="2" fontId="4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vertical="bottom"/>
    </xf>
    <xf borderId="0" fillId="3" fontId="9" numFmtId="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 readingOrder="0"/>
    </xf>
    <xf borderId="0" fillId="0" fontId="10" numFmtId="4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0" fontId="3" numFmtId="166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0" fontId="10" numFmtId="4" xfId="0" applyAlignment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38100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luce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2" max="2" width="18.13"/>
    <col customWidth="1" min="4" max="4" width="13.13"/>
    <col customWidth="1" min="5" max="5" width="14.63"/>
    <col customWidth="1" min="6" max="6" width="14.88"/>
  </cols>
  <sheetData>
    <row r="1" ht="140.25" customHeight="1">
      <c r="A1" s="1" t="s">
        <v>0</v>
      </c>
      <c r="E1" s="2"/>
      <c r="F1" s="3"/>
      <c r="G1" s="4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6.25" customHeight="1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1" t="s">
        <v>5</v>
      </c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>
      <c r="A3" s="14"/>
      <c r="B3" s="15" t="s">
        <v>6</v>
      </c>
      <c r="C3" s="16" t="s">
        <v>7</v>
      </c>
      <c r="D3" s="16" t="s">
        <v>8</v>
      </c>
      <c r="E3" s="14"/>
      <c r="F3" s="14"/>
      <c r="G3" s="14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17"/>
      <c r="B4" s="18" t="s">
        <v>9</v>
      </c>
      <c r="C4" s="18" t="s">
        <v>9</v>
      </c>
      <c r="D4" s="18" t="s">
        <v>9</v>
      </c>
      <c r="E4" s="19" t="s">
        <v>9</v>
      </c>
      <c r="F4" s="19" t="s">
        <v>9</v>
      </c>
      <c r="G4" s="19" t="s">
        <v>9</v>
      </c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20">
        <f>IFERROR(__xludf.DUMMYFUNCTION("IMPORTRANGE(""https://docs.google.com/spreadsheets/d/1Bx2qPedWMp9EBLyWYVrR94ZGYP1xlQFz87aI4pz5hUU/edit#gid=42738729"",""Dati Confronto Luce (ridotto)!F3:F5000"")"),44565.0)</f>
        <v>44565</v>
      </c>
      <c r="B5" s="21">
        <f>IFERROR(__xludf.DUMMYFUNCTION("IMPORTRANGE(""https://docs.google.com/spreadsheets/d/1Bx2qPedWMp9EBLyWYVrR94ZGYP1xlQFz87aI4pz5hUU/edit#gid=42738729"",""Dati Confronto Luce (ridotto)!j3:j5000"")"),148.39285714285717)</f>
        <v>148.3928571</v>
      </c>
      <c r="C5" s="22">
        <f>IFERROR(__xludf.DUMMYFUNCTION("IMPORTRANGE(""https://docs.google.com/spreadsheets/d/1Bx2qPedWMp9EBLyWYVrR94ZGYP1xlQFz87aI4pz5hUU/edit#gid=42738729"",""Dati Confronto Luce (ridotto)!k3:k5000"")"),95.5)</f>
        <v>95.5</v>
      </c>
      <c r="D5" s="22">
        <f>IFERROR(__xludf.DUMMYFUNCTION("IMPORTRANGE(""https://docs.google.com/spreadsheets/d/1Bx2qPedWMp9EBLyWYVrR94ZGYP1xlQFz87aI4pz5hUU/edit#gid=42738729"",""Dati Confronto Luce (ridotto)!l3:l5000"")"),227.20000000000002)</f>
        <v>227.2</v>
      </c>
      <c r="E5" s="21">
        <f>IFERROR(__xludf.DUMMYFUNCTION("IMPORTRANGE(""https://docs.google.com/spreadsheets/d/1Bx2qPedWMp9EBLyWYVrR94ZGYP1xlQFz87aI4pz5hUU/edit#gid=42738729"",""Dati Confronto Luce (ridotto)!n3:n5000"")"),184.5753315702331)</f>
        <v>184.5753316</v>
      </c>
      <c r="F5" s="21">
        <f>IFERROR(__xludf.DUMMYFUNCTION("IMPORTRANGE(""https://docs.google.com/spreadsheets/d/1Bx2qPedWMp9EBLyWYVrR94ZGYP1xlQFz87aI4pz5hUU/edit#gid=42738729"",""Dati Confronto Luce (ridotto)!h3:h5000"")"),207.76749999999996)</f>
        <v>207.7675</v>
      </c>
      <c r="G5" s="21">
        <f>IFERROR(__xludf.DUMMYFUNCTION("IMPORTRANGE(""https://docs.google.com/spreadsheets/d/1Bx2qPedWMp9EBLyWYVrR94ZGYP1xlQFz87aI4pz5hUU/edit#gid=42738729"",""Dati Confronto Luce (ridotto)!i3:i5000"")"),303.956152450091)</f>
        <v>303.9561525</v>
      </c>
    </row>
    <row r="6">
      <c r="A6" s="20">
        <f>IFERROR(__xludf.DUMMYFUNCTION("""COMPUTED_VALUE"""),44566.0)</f>
        <v>44566</v>
      </c>
      <c r="B6" s="21">
        <f>IFERROR(__xludf.DUMMYFUNCTION("""COMPUTED_VALUE"""),148.39285714285717)</f>
        <v>148.3928571</v>
      </c>
      <c r="C6" s="22">
        <f>IFERROR(__xludf.DUMMYFUNCTION("""COMPUTED_VALUE"""),95.5)</f>
        <v>95.5</v>
      </c>
      <c r="D6" s="22">
        <f>IFERROR(__xludf.DUMMYFUNCTION("""COMPUTED_VALUE"""),227.20000000000002)</f>
        <v>227.2</v>
      </c>
      <c r="E6" s="21">
        <f>IFERROR(__xludf.DUMMYFUNCTION("""COMPUTED_VALUE"""),181.31180761693875)</f>
        <v>181.3118076</v>
      </c>
      <c r="F6" s="21">
        <f>IFERROR(__xludf.DUMMYFUNCTION("""COMPUTED_VALUE"""),207.76749999999996)</f>
        <v>207.7675</v>
      </c>
      <c r="G6" s="21">
        <f>IFERROR(__xludf.DUMMYFUNCTION("""COMPUTED_VALUE"""),303.956152450091)</f>
        <v>303.9561525</v>
      </c>
      <c r="L6" s="5"/>
    </row>
    <row r="7">
      <c r="A7" s="20">
        <f>IFERROR(__xludf.DUMMYFUNCTION("""COMPUTED_VALUE"""),44567.0)</f>
        <v>44567</v>
      </c>
      <c r="B7" s="21">
        <f>IFERROR(__xludf.DUMMYFUNCTION("""COMPUTED_VALUE"""),148.39285714285717)</f>
        <v>148.3928571</v>
      </c>
      <c r="C7" s="22">
        <f>IFERROR(__xludf.DUMMYFUNCTION("""COMPUTED_VALUE"""),95.5)</f>
        <v>95.5</v>
      </c>
      <c r="D7" s="22">
        <f>IFERROR(__xludf.DUMMYFUNCTION("""COMPUTED_VALUE"""),227.20000000000002)</f>
        <v>227.2</v>
      </c>
      <c r="E7" s="21">
        <f>IFERROR(__xludf.DUMMYFUNCTION("""COMPUTED_VALUE"""),186.90583863818756)</f>
        <v>186.9058386</v>
      </c>
      <c r="F7" s="21">
        <f>IFERROR(__xludf.DUMMYFUNCTION("""COMPUTED_VALUE"""),207.76749999999996)</f>
        <v>207.7675</v>
      </c>
      <c r="G7" s="21">
        <f>IFERROR(__xludf.DUMMYFUNCTION("""COMPUTED_VALUE"""),303.956152450091)</f>
        <v>303.9561525</v>
      </c>
    </row>
    <row r="8">
      <c r="A8" s="20">
        <f>IFERROR(__xludf.DUMMYFUNCTION("""COMPUTED_VALUE"""),44568.0)</f>
        <v>44568</v>
      </c>
      <c r="B8" s="21">
        <f>IFERROR(__xludf.DUMMYFUNCTION("""COMPUTED_VALUE"""),148.39285714285717)</f>
        <v>148.3928571</v>
      </c>
      <c r="C8" s="22">
        <f>IFERROR(__xludf.DUMMYFUNCTION("""COMPUTED_VALUE"""),95.5)</f>
        <v>95.5</v>
      </c>
      <c r="D8" s="22">
        <f>IFERROR(__xludf.DUMMYFUNCTION("""COMPUTED_VALUE"""),227.20000000000002)</f>
        <v>227.2</v>
      </c>
      <c r="E8" s="21">
        <f>IFERROR(__xludf.DUMMYFUNCTION("""COMPUTED_VALUE"""),196.26129806684068)</f>
        <v>196.2612981</v>
      </c>
      <c r="F8" s="21">
        <f>IFERROR(__xludf.DUMMYFUNCTION("""COMPUTED_VALUE"""),207.76749999999996)</f>
        <v>207.7675</v>
      </c>
      <c r="G8" s="21">
        <f>IFERROR(__xludf.DUMMYFUNCTION("""COMPUTED_VALUE"""),303.956152450091)</f>
        <v>303.9561525</v>
      </c>
    </row>
    <row r="9">
      <c r="A9" s="20">
        <f>IFERROR(__xludf.DUMMYFUNCTION("""COMPUTED_VALUE"""),44569.0)</f>
        <v>44569</v>
      </c>
      <c r="B9" s="21">
        <f>IFERROR(__xludf.DUMMYFUNCTION("""COMPUTED_VALUE"""),148.39285714285717)</f>
        <v>148.3928571</v>
      </c>
      <c r="C9" s="22">
        <f>IFERROR(__xludf.DUMMYFUNCTION("""COMPUTED_VALUE"""),95.5)</f>
        <v>95.5</v>
      </c>
      <c r="D9" s="22">
        <f>IFERROR(__xludf.DUMMYFUNCTION("""COMPUTED_VALUE"""),227.20000000000002)</f>
        <v>227.2</v>
      </c>
      <c r="E9" s="21">
        <f>IFERROR(__xludf.DUMMYFUNCTION("""COMPUTED_VALUE"""),208.18756414506066)</f>
        <v>208.1875641</v>
      </c>
      <c r="F9" s="21">
        <f>IFERROR(__xludf.DUMMYFUNCTION("""COMPUTED_VALUE"""),207.76749999999996)</f>
        <v>207.7675</v>
      </c>
      <c r="G9" s="21">
        <f>IFERROR(__xludf.DUMMYFUNCTION("""COMPUTED_VALUE"""),303.956152450091)</f>
        <v>303.9561525</v>
      </c>
    </row>
    <row r="10">
      <c r="A10" s="20">
        <f>IFERROR(__xludf.DUMMYFUNCTION("""COMPUTED_VALUE"""),44570.0)</f>
        <v>44570</v>
      </c>
      <c r="B10" s="21">
        <f>IFERROR(__xludf.DUMMYFUNCTION("""COMPUTED_VALUE"""),148.39285714285717)</f>
        <v>148.3928571</v>
      </c>
      <c r="C10" s="22">
        <f>IFERROR(__xludf.DUMMYFUNCTION("""COMPUTED_VALUE"""),95.5)</f>
        <v>95.5</v>
      </c>
      <c r="D10" s="22">
        <f>IFERROR(__xludf.DUMMYFUNCTION("""COMPUTED_VALUE"""),227.20000000000002)</f>
        <v>227.2</v>
      </c>
      <c r="E10" s="21">
        <f>IFERROR(__xludf.DUMMYFUNCTION("""COMPUTED_VALUE"""),214.60125063411266)</f>
        <v>214.6012506</v>
      </c>
      <c r="F10" s="21">
        <f>IFERROR(__xludf.DUMMYFUNCTION("""COMPUTED_VALUE"""),207.76749999999996)</f>
        <v>207.7675</v>
      </c>
      <c r="G10" s="21">
        <f>IFERROR(__xludf.DUMMYFUNCTION("""COMPUTED_VALUE"""),303.956152450091)</f>
        <v>303.9561525</v>
      </c>
    </row>
    <row r="11">
      <c r="A11" s="20">
        <f>IFERROR(__xludf.DUMMYFUNCTION("""COMPUTED_VALUE"""),44571.0)</f>
        <v>44571</v>
      </c>
      <c r="B11" s="21">
        <f>IFERROR(__xludf.DUMMYFUNCTION("""COMPUTED_VALUE"""),171.45)</f>
        <v>171.45</v>
      </c>
      <c r="C11" s="22">
        <f>IFERROR(__xludf.DUMMYFUNCTION("""COMPUTED_VALUE"""),107.5)</f>
        <v>107.5</v>
      </c>
      <c r="D11" s="22">
        <f>IFERROR(__xludf.DUMMYFUNCTION("""COMPUTED_VALUE"""),322.45)</f>
        <v>322.45</v>
      </c>
      <c r="E11" s="21">
        <f>IFERROR(__xludf.DUMMYFUNCTION("""COMPUTED_VALUE"""),222.3245516337553)</f>
        <v>222.3245516</v>
      </c>
      <c r="F11" s="21">
        <f>IFERROR(__xludf.DUMMYFUNCTION("""COMPUTED_VALUE"""),206.28821428571428)</f>
        <v>206.2882143</v>
      </c>
      <c r="G11" s="21">
        <f>IFERROR(__xludf.DUMMYFUNCTION("""COMPUTED_VALUE"""),303.956152450091)</f>
        <v>303.9561525</v>
      </c>
    </row>
    <row r="12">
      <c r="A12" s="20">
        <f>IFERROR(__xludf.DUMMYFUNCTION("""COMPUTED_VALUE"""),44572.0)</f>
        <v>44572</v>
      </c>
      <c r="B12" s="21">
        <f>IFERROR(__xludf.DUMMYFUNCTION("""COMPUTED_VALUE"""),171.45)</f>
        <v>171.45</v>
      </c>
      <c r="C12" s="22">
        <f>IFERROR(__xludf.DUMMYFUNCTION("""COMPUTED_VALUE"""),107.5)</f>
        <v>107.5</v>
      </c>
      <c r="D12" s="22">
        <f>IFERROR(__xludf.DUMMYFUNCTION("""COMPUTED_VALUE"""),322.45)</f>
        <v>322.45</v>
      </c>
      <c r="E12" s="21">
        <f>IFERROR(__xludf.DUMMYFUNCTION("""COMPUTED_VALUE"""),233.87264980647154)</f>
        <v>233.8726498</v>
      </c>
      <c r="F12" s="21">
        <f>IFERROR(__xludf.DUMMYFUNCTION("""COMPUTED_VALUE"""),204.80892857142857)</f>
        <v>204.8089286</v>
      </c>
      <c r="G12" s="21">
        <f>IFERROR(__xludf.DUMMYFUNCTION("""COMPUTED_VALUE"""),303.956152450091)</f>
        <v>303.9561525</v>
      </c>
    </row>
    <row r="13">
      <c r="A13" s="20">
        <f>IFERROR(__xludf.DUMMYFUNCTION("""COMPUTED_VALUE"""),44573.0)</f>
        <v>44573</v>
      </c>
      <c r="B13" s="21">
        <f>IFERROR(__xludf.DUMMYFUNCTION("""COMPUTED_VALUE"""),171.45)</f>
        <v>171.45</v>
      </c>
      <c r="C13" s="22">
        <f>IFERROR(__xludf.DUMMYFUNCTION("""COMPUTED_VALUE"""),107.5)</f>
        <v>107.5</v>
      </c>
      <c r="D13" s="22">
        <f>IFERROR(__xludf.DUMMYFUNCTION("""COMPUTED_VALUE"""),322.45)</f>
        <v>322.45</v>
      </c>
      <c r="E13" s="21">
        <f>IFERROR(__xludf.DUMMYFUNCTION("""COMPUTED_VALUE"""),239.25026286650152)</f>
        <v>239.2502629</v>
      </c>
      <c r="F13" s="21">
        <f>IFERROR(__xludf.DUMMYFUNCTION("""COMPUTED_VALUE"""),203.32964285714283)</f>
        <v>203.3296429</v>
      </c>
      <c r="G13" s="21">
        <f>IFERROR(__xludf.DUMMYFUNCTION("""COMPUTED_VALUE"""),303.956152450091)</f>
        <v>303.9561525</v>
      </c>
    </row>
    <row r="14">
      <c r="A14" s="23">
        <f>IFERROR(__xludf.DUMMYFUNCTION("""COMPUTED_VALUE"""),44574.0)</f>
        <v>44574</v>
      </c>
      <c r="B14" s="21">
        <f>IFERROR(__xludf.DUMMYFUNCTION("""COMPUTED_VALUE"""),171.45)</f>
        <v>171.45</v>
      </c>
      <c r="C14" s="22">
        <f>IFERROR(__xludf.DUMMYFUNCTION("""COMPUTED_VALUE"""),107.5)</f>
        <v>107.5</v>
      </c>
      <c r="D14" s="22">
        <f>IFERROR(__xludf.DUMMYFUNCTION("""COMPUTED_VALUE"""),322.45)</f>
        <v>322.45</v>
      </c>
      <c r="E14" s="21">
        <f>IFERROR(__xludf.DUMMYFUNCTION("""COMPUTED_VALUE"""),239.0267332707253)</f>
        <v>239.0267333</v>
      </c>
      <c r="F14" s="21">
        <f>IFERROR(__xludf.DUMMYFUNCTION("""COMPUTED_VALUE"""),201.85035714285712)</f>
        <v>201.8503571</v>
      </c>
      <c r="G14" s="21">
        <f>IFERROR(__xludf.DUMMYFUNCTION("""COMPUTED_VALUE"""),303.956152450091)</f>
        <v>303.9561525</v>
      </c>
    </row>
    <row r="15">
      <c r="A15" s="23">
        <f>IFERROR(__xludf.DUMMYFUNCTION("""COMPUTED_VALUE"""),44575.0)</f>
        <v>44575</v>
      </c>
      <c r="B15" s="21">
        <f>IFERROR(__xludf.DUMMYFUNCTION("""COMPUTED_VALUE"""),171.45)</f>
        <v>171.45</v>
      </c>
      <c r="C15" s="22">
        <f>IFERROR(__xludf.DUMMYFUNCTION("""COMPUTED_VALUE"""),107.5)</f>
        <v>107.5</v>
      </c>
      <c r="D15" s="22">
        <f>IFERROR(__xludf.DUMMYFUNCTION("""COMPUTED_VALUE"""),322.45)</f>
        <v>322.45</v>
      </c>
      <c r="E15" s="21">
        <f>IFERROR(__xludf.DUMMYFUNCTION("""COMPUTED_VALUE"""),238.2105645018439)</f>
        <v>238.2105645</v>
      </c>
      <c r="F15" s="21">
        <f>IFERROR(__xludf.DUMMYFUNCTION("""COMPUTED_VALUE"""),200.3710714285714)</f>
        <v>200.3710714</v>
      </c>
      <c r="G15" s="21">
        <f>IFERROR(__xludf.DUMMYFUNCTION("""COMPUTED_VALUE"""),303.956152450091)</f>
        <v>303.9561525</v>
      </c>
    </row>
    <row r="16">
      <c r="A16" s="23">
        <f>IFERROR(__xludf.DUMMYFUNCTION("""COMPUTED_VALUE"""),44576.0)</f>
        <v>44576</v>
      </c>
      <c r="B16" s="21">
        <f>IFERROR(__xludf.DUMMYFUNCTION("""COMPUTED_VALUE"""),171.45)</f>
        <v>171.45</v>
      </c>
      <c r="C16" s="22">
        <f>IFERROR(__xludf.DUMMYFUNCTION("""COMPUTED_VALUE"""),107.5)</f>
        <v>107.5</v>
      </c>
      <c r="D16" s="22">
        <f>IFERROR(__xludf.DUMMYFUNCTION("""COMPUTED_VALUE"""),322.45)</f>
        <v>322.45</v>
      </c>
      <c r="E16" s="21">
        <f>IFERROR(__xludf.DUMMYFUNCTION("""COMPUTED_VALUE"""),235.71335570806218)</f>
        <v>235.7133557</v>
      </c>
      <c r="F16" s="21">
        <f>IFERROR(__xludf.DUMMYFUNCTION("""COMPUTED_VALUE"""),198.8917857142857)</f>
        <v>198.8917857</v>
      </c>
      <c r="G16" s="21">
        <f>IFERROR(__xludf.DUMMYFUNCTION("""COMPUTED_VALUE"""),303.956152450091)</f>
        <v>303.9561525</v>
      </c>
    </row>
    <row r="17">
      <c r="A17" s="23">
        <f>IFERROR(__xludf.DUMMYFUNCTION("""COMPUTED_VALUE"""),44577.0)</f>
        <v>44577</v>
      </c>
      <c r="B17" s="21">
        <f>IFERROR(__xludf.DUMMYFUNCTION("""COMPUTED_VALUE"""),171.45)</f>
        <v>171.45</v>
      </c>
      <c r="C17" s="22">
        <f>IFERROR(__xludf.DUMMYFUNCTION("""COMPUTED_VALUE"""),107.5)</f>
        <v>107.5</v>
      </c>
      <c r="D17" s="22">
        <f>IFERROR(__xludf.DUMMYFUNCTION("""COMPUTED_VALUE"""),322.45)</f>
        <v>322.45</v>
      </c>
      <c r="E17" s="21">
        <f>IFERROR(__xludf.DUMMYFUNCTION("""COMPUTED_VALUE"""),235.55826629029477)</f>
        <v>235.5582663</v>
      </c>
      <c r="F17" s="21">
        <f>IFERROR(__xludf.DUMMYFUNCTION("""COMPUTED_VALUE"""),197.4125)</f>
        <v>197.4125</v>
      </c>
      <c r="G17" s="21">
        <f>IFERROR(__xludf.DUMMYFUNCTION("""COMPUTED_VALUE"""),303.956152450091)</f>
        <v>303.9561525</v>
      </c>
    </row>
    <row r="18">
      <c r="A18" s="23">
        <f>IFERROR(__xludf.DUMMYFUNCTION("""COMPUTED_VALUE"""),44578.0)</f>
        <v>44578</v>
      </c>
      <c r="B18" s="21">
        <f>IFERROR(__xludf.DUMMYFUNCTION("""COMPUTED_VALUE"""),174.5083333333333)</f>
        <v>174.5083333</v>
      </c>
      <c r="C18" s="22">
        <f>IFERROR(__xludf.DUMMYFUNCTION("""COMPUTED_VALUE"""),122.75)</f>
        <v>122.75</v>
      </c>
      <c r="D18" s="22">
        <f>IFERROR(__xludf.DUMMYFUNCTION("""COMPUTED_VALUE"""),322.45)</f>
        <v>322.45</v>
      </c>
      <c r="E18" s="21">
        <f>IFERROR(__xludf.DUMMYFUNCTION("""COMPUTED_VALUE"""),233.90945138605653)</f>
        <v>233.9094514</v>
      </c>
      <c r="F18" s="21">
        <f>IFERROR(__xludf.DUMMYFUNCTION("""COMPUTED_VALUE"""),195.50642857142856)</f>
        <v>195.5064286</v>
      </c>
      <c r="G18" s="21">
        <f>IFERROR(__xludf.DUMMYFUNCTION("""COMPUTED_VALUE"""),303.956152450091)</f>
        <v>303.9561525</v>
      </c>
    </row>
    <row r="19">
      <c r="A19" s="23">
        <f>IFERROR(__xludf.DUMMYFUNCTION("""COMPUTED_VALUE"""),44579.0)</f>
        <v>44579</v>
      </c>
      <c r="B19" s="21">
        <f>IFERROR(__xludf.DUMMYFUNCTION("""COMPUTED_VALUE"""),174.5083333333333)</f>
        <v>174.5083333</v>
      </c>
      <c r="C19" s="22">
        <f>IFERROR(__xludf.DUMMYFUNCTION("""COMPUTED_VALUE"""),122.75)</f>
        <v>122.75</v>
      </c>
      <c r="D19" s="22">
        <f>IFERROR(__xludf.DUMMYFUNCTION("""COMPUTED_VALUE"""),322.45)</f>
        <v>322.45</v>
      </c>
      <c r="E19" s="21">
        <f>IFERROR(__xludf.DUMMYFUNCTION("""COMPUTED_VALUE"""),232.95358247643634)</f>
        <v>232.9535825</v>
      </c>
      <c r="F19" s="21">
        <f>IFERROR(__xludf.DUMMYFUNCTION("""COMPUTED_VALUE"""),193.60035714285712)</f>
        <v>193.6003571</v>
      </c>
      <c r="G19" s="21">
        <f>IFERROR(__xludf.DUMMYFUNCTION("""COMPUTED_VALUE"""),303.956152450091)</f>
        <v>303.9561525</v>
      </c>
    </row>
    <row r="20">
      <c r="A20" s="23">
        <f>IFERROR(__xludf.DUMMYFUNCTION("""COMPUTED_VALUE"""),44580.0)</f>
        <v>44580</v>
      </c>
      <c r="B20" s="21">
        <f>IFERROR(__xludf.DUMMYFUNCTION("""COMPUTED_VALUE"""),174.5083333333333)</f>
        <v>174.5083333</v>
      </c>
      <c r="C20" s="22">
        <f>IFERROR(__xludf.DUMMYFUNCTION("""COMPUTED_VALUE"""),122.75)</f>
        <v>122.75</v>
      </c>
      <c r="D20" s="22">
        <f>IFERROR(__xludf.DUMMYFUNCTION("""COMPUTED_VALUE"""),322.45)</f>
        <v>322.45</v>
      </c>
      <c r="E20" s="21">
        <f>IFERROR(__xludf.DUMMYFUNCTION("""COMPUTED_VALUE"""),232.7956668437464)</f>
        <v>232.7956668</v>
      </c>
      <c r="F20" s="21">
        <f>IFERROR(__xludf.DUMMYFUNCTION("""COMPUTED_VALUE"""),191.6942857142857)</f>
        <v>191.6942857</v>
      </c>
      <c r="G20" s="21">
        <f>IFERROR(__xludf.DUMMYFUNCTION("""COMPUTED_VALUE"""),303.956152450091)</f>
        <v>303.9561525</v>
      </c>
    </row>
    <row r="21">
      <c r="A21" s="23">
        <f>IFERROR(__xludf.DUMMYFUNCTION("""COMPUTED_VALUE"""),44581.0)</f>
        <v>44581</v>
      </c>
      <c r="B21" s="21">
        <f>IFERROR(__xludf.DUMMYFUNCTION("""COMPUTED_VALUE"""),174.5083333333333)</f>
        <v>174.5083333</v>
      </c>
      <c r="C21" s="22">
        <f>IFERROR(__xludf.DUMMYFUNCTION("""COMPUTED_VALUE"""),122.75)</f>
        <v>122.75</v>
      </c>
      <c r="D21" s="22">
        <f>IFERROR(__xludf.DUMMYFUNCTION("""COMPUTED_VALUE"""),322.45)</f>
        <v>322.45</v>
      </c>
      <c r="E21" s="21">
        <f>IFERROR(__xludf.DUMMYFUNCTION("""COMPUTED_VALUE"""),232.45498647329555)</f>
        <v>232.4549865</v>
      </c>
      <c r="F21" s="21">
        <f>IFERROR(__xludf.DUMMYFUNCTION("""COMPUTED_VALUE"""),189.78821428571425)</f>
        <v>189.7882143</v>
      </c>
      <c r="G21" s="21">
        <f>IFERROR(__xludf.DUMMYFUNCTION("""COMPUTED_VALUE"""),303.956152450091)</f>
        <v>303.9561525</v>
      </c>
    </row>
    <row r="22">
      <c r="A22" s="23">
        <f>IFERROR(__xludf.DUMMYFUNCTION("""COMPUTED_VALUE"""),44582.0)</f>
        <v>44582</v>
      </c>
      <c r="B22" s="21">
        <f>IFERROR(__xludf.DUMMYFUNCTION("""COMPUTED_VALUE"""),174.5083333333333)</f>
        <v>174.5083333</v>
      </c>
      <c r="C22" s="22">
        <f>IFERROR(__xludf.DUMMYFUNCTION("""COMPUTED_VALUE"""),122.75)</f>
        <v>122.75</v>
      </c>
      <c r="D22" s="22">
        <f>IFERROR(__xludf.DUMMYFUNCTION("""COMPUTED_VALUE"""),322.45)</f>
        <v>322.45</v>
      </c>
      <c r="E22" s="21">
        <f>IFERROR(__xludf.DUMMYFUNCTION("""COMPUTED_VALUE"""),230.7618949063023)</f>
        <v>230.7618949</v>
      </c>
      <c r="F22" s="21">
        <f>IFERROR(__xludf.DUMMYFUNCTION("""COMPUTED_VALUE"""),187.8821428571428)</f>
        <v>187.8821429</v>
      </c>
      <c r="G22" s="21">
        <f>IFERROR(__xludf.DUMMYFUNCTION("""COMPUTED_VALUE"""),303.956152450091)</f>
        <v>303.9561525</v>
      </c>
    </row>
    <row r="23">
      <c r="A23" s="23">
        <f>IFERROR(__xludf.DUMMYFUNCTION("""COMPUTED_VALUE"""),44583.0)</f>
        <v>44583</v>
      </c>
      <c r="B23" s="21">
        <f>IFERROR(__xludf.DUMMYFUNCTION("""COMPUTED_VALUE"""),174.5083333333333)</f>
        <v>174.5083333</v>
      </c>
      <c r="C23" s="22">
        <f>IFERROR(__xludf.DUMMYFUNCTION("""COMPUTED_VALUE"""),122.75)</f>
        <v>122.75</v>
      </c>
      <c r="D23" s="22">
        <f>IFERROR(__xludf.DUMMYFUNCTION("""COMPUTED_VALUE"""),322.45)</f>
        <v>322.45</v>
      </c>
      <c r="E23" s="21">
        <f>IFERROR(__xludf.DUMMYFUNCTION("""COMPUTED_VALUE"""),228.80124266305577)</f>
        <v>228.8012427</v>
      </c>
      <c r="F23" s="21">
        <f>IFERROR(__xludf.DUMMYFUNCTION("""COMPUTED_VALUE"""),185.9760714285714)</f>
        <v>185.9760714</v>
      </c>
      <c r="G23" s="21">
        <f>IFERROR(__xludf.DUMMYFUNCTION("""COMPUTED_VALUE"""),303.956152450091)</f>
        <v>303.9561525</v>
      </c>
    </row>
    <row r="24">
      <c r="A24" s="23">
        <f>IFERROR(__xludf.DUMMYFUNCTION("""COMPUTED_VALUE"""),44584.0)</f>
        <v>44584</v>
      </c>
      <c r="B24" s="21">
        <f>IFERROR(__xludf.DUMMYFUNCTION("""COMPUTED_VALUE"""),174.5083333333333)</f>
        <v>174.5083333</v>
      </c>
      <c r="C24" s="22">
        <f>IFERROR(__xludf.DUMMYFUNCTION("""COMPUTED_VALUE"""),122.75)</f>
        <v>122.75</v>
      </c>
      <c r="D24" s="22">
        <f>IFERROR(__xludf.DUMMYFUNCTION("""COMPUTED_VALUE"""),322.45)</f>
        <v>322.45</v>
      </c>
      <c r="E24" s="21">
        <f>IFERROR(__xludf.DUMMYFUNCTION("""COMPUTED_VALUE"""),226.53627756114585)</f>
        <v>226.5362776</v>
      </c>
      <c r="F24" s="21">
        <f>IFERROR(__xludf.DUMMYFUNCTION("""COMPUTED_VALUE"""),184.06999999999996)</f>
        <v>184.07</v>
      </c>
      <c r="G24" s="21">
        <f>IFERROR(__xludf.DUMMYFUNCTION("""COMPUTED_VALUE"""),303.956152450091)</f>
        <v>303.9561525</v>
      </c>
    </row>
    <row r="25">
      <c r="A25" s="23">
        <f>IFERROR(__xludf.DUMMYFUNCTION("""COMPUTED_VALUE"""),44585.0)</f>
        <v>44585</v>
      </c>
      <c r="B25" s="21">
        <f>IFERROR(__xludf.DUMMYFUNCTION("""COMPUTED_VALUE"""),183.10000000000002)</f>
        <v>183.1</v>
      </c>
      <c r="C25" s="22">
        <f>IFERROR(__xludf.DUMMYFUNCTION("""COMPUTED_VALUE"""),123.2)</f>
        <v>123.2</v>
      </c>
      <c r="D25" s="22">
        <f>IFERROR(__xludf.DUMMYFUNCTION("""COMPUTED_VALUE"""),303.7)</f>
        <v>303.7</v>
      </c>
      <c r="E25" s="21">
        <f>IFERROR(__xludf.DUMMYFUNCTION("""COMPUTED_VALUE"""),226.6128188898156)</f>
        <v>226.6128189</v>
      </c>
      <c r="F25" s="21">
        <f>IFERROR(__xludf.DUMMYFUNCTION("""COMPUTED_VALUE"""),183.72928571428568)</f>
        <v>183.7292857</v>
      </c>
      <c r="G25" s="21">
        <f>IFERROR(__xludf.DUMMYFUNCTION("""COMPUTED_VALUE"""),303.956152450091)</f>
        <v>303.9561525</v>
      </c>
    </row>
    <row r="26">
      <c r="A26" s="23">
        <f>IFERROR(__xludf.DUMMYFUNCTION("""COMPUTED_VALUE"""),44586.0)</f>
        <v>44586</v>
      </c>
      <c r="B26" s="21">
        <f>IFERROR(__xludf.DUMMYFUNCTION("""COMPUTED_VALUE"""),183.10000000000002)</f>
        <v>183.1</v>
      </c>
      <c r="C26" s="22">
        <f>IFERROR(__xludf.DUMMYFUNCTION("""COMPUTED_VALUE"""),123.2)</f>
        <v>123.2</v>
      </c>
      <c r="D26" s="22">
        <f>IFERROR(__xludf.DUMMYFUNCTION("""COMPUTED_VALUE"""),303.7)</f>
        <v>303.7</v>
      </c>
      <c r="E26" s="21">
        <f>IFERROR(__xludf.DUMMYFUNCTION("""COMPUTED_VALUE"""),233.10970949602503)</f>
        <v>233.1097095</v>
      </c>
      <c r="F26" s="21">
        <f>IFERROR(__xludf.DUMMYFUNCTION("""COMPUTED_VALUE"""),183.3885714285714)</f>
        <v>183.3885714</v>
      </c>
      <c r="G26" s="21">
        <f>IFERROR(__xludf.DUMMYFUNCTION("""COMPUTED_VALUE"""),303.956152450091)</f>
        <v>303.9561525</v>
      </c>
    </row>
    <row r="27">
      <c r="A27" s="23">
        <f>IFERROR(__xludf.DUMMYFUNCTION("""COMPUTED_VALUE"""),44587.0)</f>
        <v>44587</v>
      </c>
      <c r="B27" s="21">
        <f>IFERROR(__xludf.DUMMYFUNCTION("""COMPUTED_VALUE"""),183.10000000000002)</f>
        <v>183.1</v>
      </c>
      <c r="C27" s="22">
        <f>IFERROR(__xludf.DUMMYFUNCTION("""COMPUTED_VALUE"""),123.2)</f>
        <v>123.2</v>
      </c>
      <c r="D27" s="22">
        <f>IFERROR(__xludf.DUMMYFUNCTION("""COMPUTED_VALUE"""),303.7)</f>
        <v>303.7</v>
      </c>
      <c r="E27" s="21">
        <f>IFERROR(__xludf.DUMMYFUNCTION("""COMPUTED_VALUE"""),238.63496537422563)</f>
        <v>238.6349654</v>
      </c>
      <c r="F27" s="21">
        <f>IFERROR(__xludf.DUMMYFUNCTION("""COMPUTED_VALUE"""),183.0478571428571)</f>
        <v>183.0478571</v>
      </c>
      <c r="G27" s="21">
        <f>IFERROR(__xludf.DUMMYFUNCTION("""COMPUTED_VALUE"""),303.956152450091)</f>
        <v>303.9561525</v>
      </c>
    </row>
    <row r="28">
      <c r="A28" s="23">
        <f>IFERROR(__xludf.DUMMYFUNCTION("""COMPUTED_VALUE"""),44588.0)</f>
        <v>44588</v>
      </c>
      <c r="B28" s="21">
        <f>IFERROR(__xludf.DUMMYFUNCTION("""COMPUTED_VALUE"""),183.10000000000002)</f>
        <v>183.1</v>
      </c>
      <c r="C28" s="22">
        <f>IFERROR(__xludf.DUMMYFUNCTION("""COMPUTED_VALUE"""),123.2)</f>
        <v>123.2</v>
      </c>
      <c r="D28" s="22">
        <f>IFERROR(__xludf.DUMMYFUNCTION("""COMPUTED_VALUE"""),303.7)</f>
        <v>303.7</v>
      </c>
      <c r="E28" s="21">
        <f>IFERROR(__xludf.DUMMYFUNCTION("""COMPUTED_VALUE"""),244.8484324545056)</f>
        <v>244.8484325</v>
      </c>
      <c r="F28" s="21">
        <f>IFERROR(__xludf.DUMMYFUNCTION("""COMPUTED_VALUE"""),182.70714285714283)</f>
        <v>182.7071429</v>
      </c>
      <c r="G28" s="21">
        <f>IFERROR(__xludf.DUMMYFUNCTION("""COMPUTED_VALUE"""),303.956152450091)</f>
        <v>303.9561525</v>
      </c>
    </row>
    <row r="29">
      <c r="A29" s="23">
        <f>IFERROR(__xludf.DUMMYFUNCTION("""COMPUTED_VALUE"""),44589.0)</f>
        <v>44589</v>
      </c>
      <c r="B29" s="21">
        <f>IFERROR(__xludf.DUMMYFUNCTION("""COMPUTED_VALUE"""),183.10000000000002)</f>
        <v>183.1</v>
      </c>
      <c r="C29" s="22">
        <f>IFERROR(__xludf.DUMMYFUNCTION("""COMPUTED_VALUE"""),123.2)</f>
        <v>123.2</v>
      </c>
      <c r="D29" s="22">
        <f>IFERROR(__xludf.DUMMYFUNCTION("""COMPUTED_VALUE"""),303.7)</f>
        <v>303.7</v>
      </c>
      <c r="E29" s="21">
        <f>IFERROR(__xludf.DUMMYFUNCTION("""COMPUTED_VALUE"""),251.48971434325003)</f>
        <v>251.4897143</v>
      </c>
      <c r="F29" s="21">
        <f>IFERROR(__xludf.DUMMYFUNCTION("""COMPUTED_VALUE"""),182.36642857142854)</f>
        <v>182.3664286</v>
      </c>
      <c r="G29" s="21">
        <f>IFERROR(__xludf.DUMMYFUNCTION("""COMPUTED_VALUE"""),303.956152450091)</f>
        <v>303.9561525</v>
      </c>
    </row>
    <row r="30">
      <c r="A30" s="23">
        <f>IFERROR(__xludf.DUMMYFUNCTION("""COMPUTED_VALUE"""),44590.0)</f>
        <v>44590</v>
      </c>
      <c r="B30" s="21">
        <f>IFERROR(__xludf.DUMMYFUNCTION("""COMPUTED_VALUE"""),183.10000000000002)</f>
        <v>183.1</v>
      </c>
      <c r="C30" s="22">
        <f>IFERROR(__xludf.DUMMYFUNCTION("""COMPUTED_VALUE"""),123.2)</f>
        <v>123.2</v>
      </c>
      <c r="D30" s="22">
        <f>IFERROR(__xludf.DUMMYFUNCTION("""COMPUTED_VALUE"""),303.7)</f>
        <v>303.7</v>
      </c>
      <c r="E30" s="21">
        <f>IFERROR(__xludf.DUMMYFUNCTION("""COMPUTED_VALUE"""),256.3326606915523)</f>
        <v>256.3326607</v>
      </c>
      <c r="F30" s="21">
        <f>IFERROR(__xludf.DUMMYFUNCTION("""COMPUTED_VALUE"""),182.02571428571426)</f>
        <v>182.0257143</v>
      </c>
      <c r="G30" s="21">
        <f>IFERROR(__xludf.DUMMYFUNCTION("""COMPUTED_VALUE"""),303.956152450091)</f>
        <v>303.9561525</v>
      </c>
    </row>
    <row r="31">
      <c r="A31" s="23">
        <f>IFERROR(__xludf.DUMMYFUNCTION("""COMPUTED_VALUE"""),44591.0)</f>
        <v>44591</v>
      </c>
      <c r="B31" s="21">
        <f>IFERROR(__xludf.DUMMYFUNCTION("""COMPUTED_VALUE"""),183.10000000000002)</f>
        <v>183.1</v>
      </c>
      <c r="C31" s="22">
        <f>IFERROR(__xludf.DUMMYFUNCTION("""COMPUTED_VALUE"""),123.2)</f>
        <v>123.2</v>
      </c>
      <c r="D31" s="22">
        <f>IFERROR(__xludf.DUMMYFUNCTION("""COMPUTED_VALUE"""),303.7)</f>
        <v>303.7</v>
      </c>
      <c r="E31" s="21">
        <f>IFERROR(__xludf.DUMMYFUNCTION("""COMPUTED_VALUE"""),259.2620774135418)</f>
        <v>259.2620774</v>
      </c>
      <c r="F31" s="21">
        <f>IFERROR(__xludf.DUMMYFUNCTION("""COMPUTED_VALUE"""),181.68499999999997)</f>
        <v>181.685</v>
      </c>
      <c r="G31" s="21">
        <f>IFERROR(__xludf.DUMMYFUNCTION("""COMPUTED_VALUE"""),303.956152450091)</f>
        <v>303.9561525</v>
      </c>
    </row>
    <row r="32">
      <c r="A32" s="23">
        <f>IFERROR(__xludf.DUMMYFUNCTION("""COMPUTED_VALUE"""),44592.0)</f>
        <v>44592</v>
      </c>
      <c r="B32" s="21">
        <f>IFERROR(__xludf.DUMMYFUNCTION("""COMPUTED_VALUE"""),185.0)</f>
        <v>185</v>
      </c>
      <c r="C32" s="22">
        <f>IFERROR(__xludf.DUMMYFUNCTION("""COMPUTED_VALUE"""),125.85000000000002)</f>
        <v>125.85</v>
      </c>
      <c r="D32" s="22">
        <f>IFERROR(__xludf.DUMMYFUNCTION("""COMPUTED_VALUE"""),259.65)</f>
        <v>259.65</v>
      </c>
      <c r="E32" s="21">
        <f>IFERROR(__xludf.DUMMYFUNCTION("""COMPUTED_VALUE"""),257.1815110498231)</f>
        <v>257.181511</v>
      </c>
      <c r="F32" s="21">
        <f>IFERROR(__xludf.DUMMYFUNCTION("""COMPUTED_VALUE"""),186.545)</f>
        <v>186.545</v>
      </c>
      <c r="G32" s="21">
        <f>IFERROR(__xludf.DUMMYFUNCTION("""COMPUTED_VALUE"""),303.956152450091)</f>
        <v>303.9561525</v>
      </c>
    </row>
    <row r="33">
      <c r="A33" s="20">
        <f>IFERROR(__xludf.DUMMYFUNCTION("""COMPUTED_VALUE"""),44593.0)</f>
        <v>44593</v>
      </c>
      <c r="B33" s="21">
        <f>IFERROR(__xludf.DUMMYFUNCTION("""COMPUTED_VALUE"""),185.0)</f>
        <v>185</v>
      </c>
      <c r="C33" s="22">
        <f>IFERROR(__xludf.DUMMYFUNCTION("""COMPUTED_VALUE"""),125.85000000000002)</f>
        <v>125.85</v>
      </c>
      <c r="D33" s="22">
        <f>IFERROR(__xludf.DUMMYFUNCTION("""COMPUTED_VALUE"""),259.65)</f>
        <v>259.65</v>
      </c>
      <c r="E33" s="21">
        <f>IFERROR(__xludf.DUMMYFUNCTION("""COMPUTED_VALUE"""),250.69448419482868)</f>
        <v>250.6944842</v>
      </c>
      <c r="F33" s="21">
        <f>IFERROR(__xludf.DUMMYFUNCTION("""COMPUTED_VALUE"""),191.40499999999997)</f>
        <v>191.405</v>
      </c>
      <c r="G33" s="21">
        <f>IFERROR(__xludf.DUMMYFUNCTION("""COMPUTED_VALUE"""),303.956152450091)</f>
        <v>303.9561525</v>
      </c>
    </row>
    <row r="34">
      <c r="A34" s="20">
        <f>IFERROR(__xludf.DUMMYFUNCTION("""COMPUTED_VALUE"""),44594.0)</f>
        <v>44594</v>
      </c>
      <c r="B34" s="21">
        <f>IFERROR(__xludf.DUMMYFUNCTION("""COMPUTED_VALUE"""),185.0)</f>
        <v>185</v>
      </c>
      <c r="C34" s="22">
        <f>IFERROR(__xludf.DUMMYFUNCTION("""COMPUTED_VALUE"""),125.85000000000002)</f>
        <v>125.85</v>
      </c>
      <c r="D34" s="22">
        <f>IFERROR(__xludf.DUMMYFUNCTION("""COMPUTED_VALUE"""),259.65)</f>
        <v>259.65</v>
      </c>
      <c r="E34" s="21">
        <f>IFERROR(__xludf.DUMMYFUNCTION("""COMPUTED_VALUE"""),241.95040712324447)</f>
        <v>241.9504071</v>
      </c>
      <c r="F34" s="21">
        <f>IFERROR(__xludf.DUMMYFUNCTION("""COMPUTED_VALUE"""),196.26500000000001)</f>
        <v>196.265</v>
      </c>
      <c r="G34" s="21">
        <f>IFERROR(__xludf.DUMMYFUNCTION("""COMPUTED_VALUE"""),303.956152450091)</f>
        <v>303.9561525</v>
      </c>
    </row>
    <row r="35">
      <c r="A35" s="20">
        <f>IFERROR(__xludf.DUMMYFUNCTION("""COMPUTED_VALUE"""),44595.0)</f>
        <v>44595</v>
      </c>
      <c r="B35" s="21">
        <f>IFERROR(__xludf.DUMMYFUNCTION("""COMPUTED_VALUE"""),185.0)</f>
        <v>185</v>
      </c>
      <c r="C35" s="22">
        <f>IFERROR(__xludf.DUMMYFUNCTION("""COMPUTED_VALUE"""),125.85000000000002)</f>
        <v>125.85</v>
      </c>
      <c r="D35" s="22">
        <f>IFERROR(__xludf.DUMMYFUNCTION("""COMPUTED_VALUE"""),259.65)</f>
        <v>259.65</v>
      </c>
      <c r="E35" s="21">
        <f>IFERROR(__xludf.DUMMYFUNCTION("""COMPUTED_VALUE"""),234.64658386476202)</f>
        <v>234.6465839</v>
      </c>
      <c r="F35" s="21">
        <f>IFERROR(__xludf.DUMMYFUNCTION("""COMPUTED_VALUE"""),201.125)</f>
        <v>201.125</v>
      </c>
      <c r="G35" s="21">
        <f>IFERROR(__xludf.DUMMYFUNCTION("""COMPUTED_VALUE"""),303.956152450091)</f>
        <v>303.9561525</v>
      </c>
    </row>
    <row r="36">
      <c r="A36" s="20">
        <f>IFERROR(__xludf.DUMMYFUNCTION("""COMPUTED_VALUE"""),44596.0)</f>
        <v>44596</v>
      </c>
      <c r="B36" s="21">
        <f>IFERROR(__xludf.DUMMYFUNCTION("""COMPUTED_VALUE"""),185.0)</f>
        <v>185</v>
      </c>
      <c r="C36" s="22">
        <f>IFERROR(__xludf.DUMMYFUNCTION("""COMPUTED_VALUE"""),125.85000000000002)</f>
        <v>125.85</v>
      </c>
      <c r="D36" s="22">
        <f>IFERROR(__xludf.DUMMYFUNCTION("""COMPUTED_VALUE"""),259.65)</f>
        <v>259.65</v>
      </c>
      <c r="E36" s="21">
        <f>IFERROR(__xludf.DUMMYFUNCTION("""COMPUTED_VALUE"""),230.01221512764008)</f>
        <v>230.0122151</v>
      </c>
      <c r="F36" s="21">
        <f>IFERROR(__xludf.DUMMYFUNCTION("""COMPUTED_VALUE"""),205.98499999999999)</f>
        <v>205.985</v>
      </c>
      <c r="G36" s="21">
        <f>IFERROR(__xludf.DUMMYFUNCTION("""COMPUTED_VALUE"""),303.956152450091)</f>
        <v>303.9561525</v>
      </c>
    </row>
    <row r="37">
      <c r="A37" s="20">
        <f>IFERROR(__xludf.DUMMYFUNCTION("""COMPUTED_VALUE"""),44597.0)</f>
        <v>44597</v>
      </c>
      <c r="B37" s="21">
        <f>IFERROR(__xludf.DUMMYFUNCTION("""COMPUTED_VALUE"""),185.0)</f>
        <v>185</v>
      </c>
      <c r="C37" s="22">
        <f>IFERROR(__xludf.DUMMYFUNCTION("""COMPUTED_VALUE"""),125.85000000000002)</f>
        <v>125.85</v>
      </c>
      <c r="D37" s="22">
        <f>IFERROR(__xludf.DUMMYFUNCTION("""COMPUTED_VALUE"""),259.65)</f>
        <v>259.65</v>
      </c>
      <c r="E37" s="21">
        <f>IFERROR(__xludf.DUMMYFUNCTION("""COMPUTED_VALUE"""),228.07348332789175)</f>
        <v>228.0734833</v>
      </c>
      <c r="F37" s="21">
        <f>IFERROR(__xludf.DUMMYFUNCTION("""COMPUTED_VALUE"""),210.845)</f>
        <v>210.845</v>
      </c>
      <c r="G37" s="21">
        <f>IFERROR(__xludf.DUMMYFUNCTION("""COMPUTED_VALUE"""),303.956152450091)</f>
        <v>303.9561525</v>
      </c>
    </row>
    <row r="38">
      <c r="A38" s="20">
        <f>IFERROR(__xludf.DUMMYFUNCTION("""COMPUTED_VALUE"""),44598.0)</f>
        <v>44598</v>
      </c>
      <c r="B38" s="21">
        <f>IFERROR(__xludf.DUMMYFUNCTION("""COMPUTED_VALUE"""),185.0)</f>
        <v>185</v>
      </c>
      <c r="C38" s="22">
        <f>IFERROR(__xludf.DUMMYFUNCTION("""COMPUTED_VALUE"""),125.85000000000002)</f>
        <v>125.85</v>
      </c>
      <c r="D38" s="22">
        <f>IFERROR(__xludf.DUMMYFUNCTION("""COMPUTED_VALUE"""),259.65)</f>
        <v>259.65</v>
      </c>
      <c r="E38" s="21">
        <f>IFERROR(__xludf.DUMMYFUNCTION("""COMPUTED_VALUE"""),226.24794880061896)</f>
        <v>226.2479488</v>
      </c>
      <c r="F38" s="21">
        <f>IFERROR(__xludf.DUMMYFUNCTION("""COMPUTED_VALUE"""),215.70499999999998)</f>
        <v>215.705</v>
      </c>
      <c r="G38" s="21">
        <f>IFERROR(__xludf.DUMMYFUNCTION("""COMPUTED_VALUE"""),303.956152450091)</f>
        <v>303.9561525</v>
      </c>
    </row>
    <row r="39">
      <c r="A39" s="20">
        <f>IFERROR(__xludf.DUMMYFUNCTION("""COMPUTED_VALUE"""),44599.0)</f>
        <v>44599</v>
      </c>
      <c r="B39" s="21">
        <f>IFERROR(__xludf.DUMMYFUNCTION("""COMPUTED_VALUE"""),185.76538461538465)</f>
        <v>185.7653846</v>
      </c>
      <c r="C39" s="22">
        <f>IFERROR(__xludf.DUMMYFUNCTION("""COMPUTED_VALUE"""),125.85000000000002)</f>
        <v>125.85</v>
      </c>
      <c r="D39" s="22">
        <f>IFERROR(__xludf.DUMMYFUNCTION("""COMPUTED_VALUE"""),259.65)</f>
        <v>259.65</v>
      </c>
      <c r="E39" s="21">
        <f>IFERROR(__xludf.DUMMYFUNCTION("""COMPUTED_VALUE"""),222.459349020518)</f>
        <v>222.459349</v>
      </c>
      <c r="F39" s="21">
        <f>IFERROR(__xludf.DUMMYFUNCTION("""COMPUTED_VALUE"""),214.93250000000003)</f>
        <v>214.9325</v>
      </c>
      <c r="G39" s="21">
        <f>IFERROR(__xludf.DUMMYFUNCTION("""COMPUTED_VALUE"""),303.956152450091)</f>
        <v>303.9561525</v>
      </c>
    </row>
    <row r="40">
      <c r="A40" s="20">
        <f>IFERROR(__xludf.DUMMYFUNCTION("""COMPUTED_VALUE"""),44600.0)</f>
        <v>44600</v>
      </c>
      <c r="B40" s="21">
        <f>IFERROR(__xludf.DUMMYFUNCTION("""COMPUTED_VALUE"""),185.76538461538465)</f>
        <v>185.7653846</v>
      </c>
      <c r="C40" s="22">
        <f>IFERROR(__xludf.DUMMYFUNCTION("""COMPUTED_VALUE"""),125.85000000000002)</f>
        <v>125.85</v>
      </c>
      <c r="D40" s="22">
        <f>IFERROR(__xludf.DUMMYFUNCTION("""COMPUTED_VALUE"""),259.65)</f>
        <v>259.65</v>
      </c>
      <c r="E40" s="21">
        <f>IFERROR(__xludf.DUMMYFUNCTION("""COMPUTED_VALUE"""),217.150657068237)</f>
        <v>217.1506571</v>
      </c>
      <c r="F40" s="21">
        <f>IFERROR(__xludf.DUMMYFUNCTION("""COMPUTED_VALUE"""),214.16000000000005)</f>
        <v>214.16</v>
      </c>
      <c r="G40" s="21">
        <f>IFERROR(__xludf.DUMMYFUNCTION("""COMPUTED_VALUE"""),303.956152450091)</f>
        <v>303.9561525</v>
      </c>
    </row>
    <row r="41">
      <c r="A41" s="20">
        <f>IFERROR(__xludf.DUMMYFUNCTION("""COMPUTED_VALUE"""),44601.0)</f>
        <v>44601</v>
      </c>
      <c r="B41" s="21">
        <f>IFERROR(__xludf.DUMMYFUNCTION("""COMPUTED_VALUE"""),185.76538461538465)</f>
        <v>185.7653846</v>
      </c>
      <c r="C41" s="22">
        <f>IFERROR(__xludf.DUMMYFUNCTION("""COMPUTED_VALUE"""),125.85000000000002)</f>
        <v>125.85</v>
      </c>
      <c r="D41" s="22">
        <f>IFERROR(__xludf.DUMMYFUNCTION("""COMPUTED_VALUE"""),259.65)</f>
        <v>259.65</v>
      </c>
      <c r="E41" s="21">
        <f>IFERROR(__xludf.DUMMYFUNCTION("""COMPUTED_VALUE"""),218.21987588039653)</f>
        <v>218.2198759</v>
      </c>
      <c r="F41" s="21">
        <f>IFERROR(__xludf.DUMMYFUNCTION("""COMPUTED_VALUE"""),213.38750000000002)</f>
        <v>213.3875</v>
      </c>
      <c r="G41" s="21">
        <f>IFERROR(__xludf.DUMMYFUNCTION("""COMPUTED_VALUE"""),303.956152450091)</f>
        <v>303.9561525</v>
      </c>
    </row>
    <row r="42">
      <c r="A42" s="20">
        <f>IFERROR(__xludf.DUMMYFUNCTION("""COMPUTED_VALUE"""),44602.0)</f>
        <v>44602</v>
      </c>
      <c r="B42" s="21">
        <f>IFERROR(__xludf.DUMMYFUNCTION("""COMPUTED_VALUE"""),185.76538461538465)</f>
        <v>185.7653846</v>
      </c>
      <c r="C42" s="22">
        <f>IFERROR(__xludf.DUMMYFUNCTION("""COMPUTED_VALUE"""),125.85000000000002)</f>
        <v>125.85</v>
      </c>
      <c r="D42" s="22">
        <f>IFERROR(__xludf.DUMMYFUNCTION("""COMPUTED_VALUE"""),259.65)</f>
        <v>259.65</v>
      </c>
      <c r="E42" s="21">
        <f>IFERROR(__xludf.DUMMYFUNCTION("""COMPUTED_VALUE"""),218.07501295434358)</f>
        <v>218.075013</v>
      </c>
      <c r="F42" s="21">
        <f>IFERROR(__xludf.DUMMYFUNCTION("""COMPUTED_VALUE"""),212.61500000000004)</f>
        <v>212.615</v>
      </c>
      <c r="G42" s="21">
        <f>IFERROR(__xludf.DUMMYFUNCTION("""COMPUTED_VALUE"""),303.956152450091)</f>
        <v>303.9561525</v>
      </c>
    </row>
    <row r="43">
      <c r="A43" s="20">
        <f>IFERROR(__xludf.DUMMYFUNCTION("""COMPUTED_VALUE"""),44603.0)</f>
        <v>44603</v>
      </c>
      <c r="B43" s="21">
        <f>IFERROR(__xludf.DUMMYFUNCTION("""COMPUTED_VALUE"""),185.76538461538465)</f>
        <v>185.7653846</v>
      </c>
      <c r="C43" s="22">
        <f>IFERROR(__xludf.DUMMYFUNCTION("""COMPUTED_VALUE"""),125.85000000000002)</f>
        <v>125.85</v>
      </c>
      <c r="D43" s="22">
        <f>IFERROR(__xludf.DUMMYFUNCTION("""COMPUTED_VALUE"""),259.65)</f>
        <v>259.65</v>
      </c>
      <c r="E43" s="21">
        <f>IFERROR(__xludf.DUMMYFUNCTION("""COMPUTED_VALUE"""),216.5945541891253)</f>
        <v>216.5945542</v>
      </c>
      <c r="F43" s="21">
        <f>IFERROR(__xludf.DUMMYFUNCTION("""COMPUTED_VALUE"""),211.8425)</f>
        <v>211.8425</v>
      </c>
      <c r="G43" s="21">
        <f>IFERROR(__xludf.DUMMYFUNCTION("""COMPUTED_VALUE"""),303.956152450091)</f>
        <v>303.9561525</v>
      </c>
    </row>
    <row r="44">
      <c r="A44" s="20">
        <f>IFERROR(__xludf.DUMMYFUNCTION("""COMPUTED_VALUE"""),44604.0)</f>
        <v>44604</v>
      </c>
      <c r="B44" s="21">
        <f>IFERROR(__xludf.DUMMYFUNCTION("""COMPUTED_VALUE"""),185.76538461538465)</f>
        <v>185.7653846</v>
      </c>
      <c r="C44" s="22">
        <f>IFERROR(__xludf.DUMMYFUNCTION("""COMPUTED_VALUE"""),125.85000000000002)</f>
        <v>125.85</v>
      </c>
      <c r="D44" s="22">
        <f>IFERROR(__xludf.DUMMYFUNCTION("""COMPUTED_VALUE"""),259.65)</f>
        <v>259.65</v>
      </c>
      <c r="E44" s="21">
        <f>IFERROR(__xludf.DUMMYFUNCTION("""COMPUTED_VALUE"""),198.20198856678363)</f>
        <v>198.2019886</v>
      </c>
      <c r="F44" s="21">
        <f>IFERROR(__xludf.DUMMYFUNCTION("""COMPUTED_VALUE"""),211.07000000000002)</f>
        <v>211.07</v>
      </c>
      <c r="G44" s="21">
        <f>IFERROR(__xludf.DUMMYFUNCTION("""COMPUTED_VALUE"""),303.956152450091)</f>
        <v>303.9561525</v>
      </c>
    </row>
    <row r="45">
      <c r="A45" s="23">
        <f>IFERROR(__xludf.DUMMYFUNCTION("""COMPUTED_VALUE"""),44605.0)</f>
        <v>44605</v>
      </c>
      <c r="B45" s="21">
        <f>IFERROR(__xludf.DUMMYFUNCTION("""COMPUTED_VALUE"""),185.76538461538465)</f>
        <v>185.7653846</v>
      </c>
      <c r="C45" s="22">
        <f>IFERROR(__xludf.DUMMYFUNCTION("""COMPUTED_VALUE"""),125.85000000000002)</f>
        <v>125.85</v>
      </c>
      <c r="D45" s="22">
        <f>IFERROR(__xludf.DUMMYFUNCTION("""COMPUTED_VALUE"""),259.65)</f>
        <v>259.65</v>
      </c>
      <c r="E45" s="21">
        <f>IFERROR(__xludf.DUMMYFUNCTION("""COMPUTED_VALUE"""),197.12848569101584)</f>
        <v>197.1284857</v>
      </c>
      <c r="F45" s="21">
        <f>IFERROR(__xludf.DUMMYFUNCTION("""COMPUTED_VALUE"""),210.29750000000007)</f>
        <v>210.2975</v>
      </c>
      <c r="G45" s="21">
        <f>IFERROR(__xludf.DUMMYFUNCTION("""COMPUTED_VALUE"""),303.956152450091)</f>
        <v>303.9561525</v>
      </c>
    </row>
    <row r="46">
      <c r="A46" s="23">
        <f>IFERROR(__xludf.DUMMYFUNCTION("""COMPUTED_VALUE"""),44606.0)</f>
        <v>44606</v>
      </c>
      <c r="B46" s="21">
        <f>IFERROR(__xludf.DUMMYFUNCTION("""COMPUTED_VALUE"""),186.29285714285717)</f>
        <v>186.2928571</v>
      </c>
      <c r="C46" s="22">
        <f>IFERROR(__xludf.DUMMYFUNCTION("""COMPUTED_VALUE"""),125.85000000000002)</f>
        <v>125.85</v>
      </c>
      <c r="D46" s="22">
        <f>IFERROR(__xludf.DUMMYFUNCTION("""COMPUTED_VALUE"""),237.0)</f>
        <v>237</v>
      </c>
      <c r="E46" s="21">
        <f>IFERROR(__xludf.DUMMYFUNCTION("""COMPUTED_VALUE"""),197.94843686768567)</f>
        <v>197.9484369</v>
      </c>
      <c r="F46" s="21">
        <f>IFERROR(__xludf.DUMMYFUNCTION("""COMPUTED_VALUE"""),209.16000000000005)</f>
        <v>209.16</v>
      </c>
      <c r="G46" s="21">
        <f>IFERROR(__xludf.DUMMYFUNCTION("""COMPUTED_VALUE"""),303.956152450091)</f>
        <v>303.9561525</v>
      </c>
    </row>
    <row r="47">
      <c r="A47" s="23">
        <f>IFERROR(__xludf.DUMMYFUNCTION("""COMPUTED_VALUE"""),44607.0)</f>
        <v>44607</v>
      </c>
      <c r="B47" s="21">
        <f>IFERROR(__xludf.DUMMYFUNCTION("""COMPUTED_VALUE"""),186.29285714285717)</f>
        <v>186.2928571</v>
      </c>
      <c r="C47" s="22">
        <f>IFERROR(__xludf.DUMMYFUNCTION("""COMPUTED_VALUE"""),125.85000000000002)</f>
        <v>125.85</v>
      </c>
      <c r="D47" s="22">
        <f>IFERROR(__xludf.DUMMYFUNCTION("""COMPUTED_VALUE"""),237.0)</f>
        <v>237</v>
      </c>
      <c r="E47" s="21">
        <f>IFERROR(__xludf.DUMMYFUNCTION("""COMPUTED_VALUE"""),198.66939187516724)</f>
        <v>198.6693919</v>
      </c>
      <c r="F47" s="21">
        <f>IFERROR(__xludf.DUMMYFUNCTION("""COMPUTED_VALUE"""),208.02250000000004)</f>
        <v>208.0225</v>
      </c>
      <c r="G47" s="21">
        <f>IFERROR(__xludf.DUMMYFUNCTION("""COMPUTED_VALUE"""),303.956152450091)</f>
        <v>303.9561525</v>
      </c>
    </row>
    <row r="48">
      <c r="A48" s="23">
        <f>IFERROR(__xludf.DUMMYFUNCTION("""COMPUTED_VALUE"""),44608.0)</f>
        <v>44608</v>
      </c>
      <c r="B48" s="21">
        <f>IFERROR(__xludf.DUMMYFUNCTION("""COMPUTED_VALUE"""),186.29285714285717)</f>
        <v>186.2928571</v>
      </c>
      <c r="C48" s="22">
        <f>IFERROR(__xludf.DUMMYFUNCTION("""COMPUTED_VALUE"""),125.85000000000002)</f>
        <v>125.85</v>
      </c>
      <c r="D48" s="22">
        <f>IFERROR(__xludf.DUMMYFUNCTION("""COMPUTED_VALUE"""),237.0)</f>
        <v>237</v>
      </c>
      <c r="E48" s="21">
        <f>IFERROR(__xludf.DUMMYFUNCTION("""COMPUTED_VALUE"""),198.93334863428808)</f>
        <v>198.9333486</v>
      </c>
      <c r="F48" s="21">
        <f>IFERROR(__xludf.DUMMYFUNCTION("""COMPUTED_VALUE"""),206.88500000000002)</f>
        <v>206.885</v>
      </c>
      <c r="G48" s="21">
        <f>IFERROR(__xludf.DUMMYFUNCTION("""COMPUTED_VALUE"""),303.956152450091)</f>
        <v>303.9561525</v>
      </c>
    </row>
    <row r="49">
      <c r="A49" s="23">
        <f>IFERROR(__xludf.DUMMYFUNCTION("""COMPUTED_VALUE"""),44609.0)</f>
        <v>44609</v>
      </c>
      <c r="B49" s="21">
        <f>IFERROR(__xludf.DUMMYFUNCTION("""COMPUTED_VALUE"""),186.29285714285717)</f>
        <v>186.2928571</v>
      </c>
      <c r="C49" s="22">
        <f>IFERROR(__xludf.DUMMYFUNCTION("""COMPUTED_VALUE"""),125.85000000000002)</f>
        <v>125.85</v>
      </c>
      <c r="D49" s="22">
        <f>IFERROR(__xludf.DUMMYFUNCTION("""COMPUTED_VALUE"""),237.0)</f>
        <v>237</v>
      </c>
      <c r="E49" s="21">
        <f>IFERROR(__xludf.DUMMYFUNCTION("""COMPUTED_VALUE"""),194.27012643068792)</f>
        <v>194.2701264</v>
      </c>
      <c r="F49" s="21">
        <f>IFERROR(__xludf.DUMMYFUNCTION("""COMPUTED_VALUE"""),205.7475)</f>
        <v>205.7475</v>
      </c>
      <c r="G49" s="21">
        <f>IFERROR(__xludf.DUMMYFUNCTION("""COMPUTED_VALUE"""),303.956152450091)</f>
        <v>303.9561525</v>
      </c>
    </row>
    <row r="50">
      <c r="A50" s="23">
        <f>IFERROR(__xludf.DUMMYFUNCTION("""COMPUTED_VALUE"""),44610.0)</f>
        <v>44610</v>
      </c>
      <c r="B50" s="21">
        <f>IFERROR(__xludf.DUMMYFUNCTION("""COMPUTED_VALUE"""),186.29285714285717)</f>
        <v>186.2928571</v>
      </c>
      <c r="C50" s="22">
        <f>IFERROR(__xludf.DUMMYFUNCTION("""COMPUTED_VALUE"""),125.85000000000002)</f>
        <v>125.85</v>
      </c>
      <c r="D50" s="22">
        <f>IFERROR(__xludf.DUMMYFUNCTION("""COMPUTED_VALUE"""),237.0)</f>
        <v>237</v>
      </c>
      <c r="E50" s="21">
        <f>IFERROR(__xludf.DUMMYFUNCTION("""COMPUTED_VALUE"""),191.64296940761326)</f>
        <v>191.6429694</v>
      </c>
      <c r="F50" s="21">
        <f>IFERROR(__xludf.DUMMYFUNCTION("""COMPUTED_VALUE"""),204.61000000000004)</f>
        <v>204.61</v>
      </c>
      <c r="G50" s="21">
        <f>IFERROR(__xludf.DUMMYFUNCTION("""COMPUTED_VALUE"""),303.956152450091)</f>
        <v>303.9561525</v>
      </c>
    </row>
    <row r="51">
      <c r="A51" s="23">
        <f>IFERROR(__xludf.DUMMYFUNCTION("""COMPUTED_VALUE"""),44611.0)</f>
        <v>44611</v>
      </c>
      <c r="B51" s="21">
        <f>IFERROR(__xludf.DUMMYFUNCTION("""COMPUTED_VALUE"""),186.29285714285717)</f>
        <v>186.2928571</v>
      </c>
      <c r="C51" s="22">
        <f>IFERROR(__xludf.DUMMYFUNCTION("""COMPUTED_VALUE"""),125.85000000000002)</f>
        <v>125.85</v>
      </c>
      <c r="D51" s="22">
        <f>IFERROR(__xludf.DUMMYFUNCTION("""COMPUTED_VALUE"""),237.0)</f>
        <v>237</v>
      </c>
      <c r="E51" s="21">
        <f>IFERROR(__xludf.DUMMYFUNCTION("""COMPUTED_VALUE"""),203.25533979932447)</f>
        <v>203.2553398</v>
      </c>
      <c r="F51" s="21">
        <f>IFERROR(__xludf.DUMMYFUNCTION("""COMPUTED_VALUE"""),203.47250000000003)</f>
        <v>203.4725</v>
      </c>
      <c r="G51" s="21">
        <f>IFERROR(__xludf.DUMMYFUNCTION("""COMPUTED_VALUE"""),303.956152450091)</f>
        <v>303.9561525</v>
      </c>
    </row>
    <row r="52">
      <c r="A52" s="23">
        <f>IFERROR(__xludf.DUMMYFUNCTION("""COMPUTED_VALUE"""),44612.0)</f>
        <v>44612</v>
      </c>
      <c r="B52" s="21">
        <f>IFERROR(__xludf.DUMMYFUNCTION("""COMPUTED_VALUE"""),186.29285714285717)</f>
        <v>186.2928571</v>
      </c>
      <c r="C52" s="22">
        <f>IFERROR(__xludf.DUMMYFUNCTION("""COMPUTED_VALUE"""),125.85000000000002)</f>
        <v>125.85</v>
      </c>
      <c r="D52" s="22">
        <f>IFERROR(__xludf.DUMMYFUNCTION("""COMPUTED_VALUE"""),237.0)</f>
        <v>237</v>
      </c>
      <c r="E52" s="21">
        <f>IFERROR(__xludf.DUMMYFUNCTION("""COMPUTED_VALUE"""),201.15207466734253)</f>
        <v>201.1520747</v>
      </c>
      <c r="F52" s="21">
        <f>IFERROR(__xludf.DUMMYFUNCTION("""COMPUTED_VALUE"""),202.335)</f>
        <v>202.335</v>
      </c>
      <c r="G52" s="21">
        <f>IFERROR(__xludf.DUMMYFUNCTION("""COMPUTED_VALUE"""),303.956152450091)</f>
        <v>303.9561525</v>
      </c>
    </row>
    <row r="53">
      <c r="A53" s="23">
        <f>IFERROR(__xludf.DUMMYFUNCTION("""COMPUTED_VALUE"""),44613.0)</f>
        <v>44613</v>
      </c>
      <c r="B53" s="21">
        <f>IFERROR(__xludf.DUMMYFUNCTION("""COMPUTED_VALUE"""),191.62857142857143)</f>
        <v>191.6285714</v>
      </c>
      <c r="C53" s="22">
        <f>IFERROR(__xludf.DUMMYFUNCTION("""COMPUTED_VALUE"""),125.85000000000002)</f>
        <v>125.85</v>
      </c>
      <c r="D53" s="22">
        <f>IFERROR(__xludf.DUMMYFUNCTION("""COMPUTED_VALUE"""),297.05)</f>
        <v>297.05</v>
      </c>
      <c r="E53" s="21">
        <f>IFERROR(__xludf.DUMMYFUNCTION("""COMPUTED_VALUE"""),197.3506169722094)</f>
        <v>197.350617</v>
      </c>
      <c r="F53" s="21">
        <f>IFERROR(__xludf.DUMMYFUNCTION("""COMPUTED_VALUE"""),201.2407142857143)</f>
        <v>201.2407143</v>
      </c>
      <c r="G53" s="21">
        <f>IFERROR(__xludf.DUMMYFUNCTION("""COMPUTED_VALUE"""),303.956152450091)</f>
        <v>303.9561525</v>
      </c>
    </row>
    <row r="54">
      <c r="A54" s="23">
        <f>IFERROR(__xludf.DUMMYFUNCTION("""COMPUTED_VALUE"""),44614.0)</f>
        <v>44614</v>
      </c>
      <c r="B54" s="21">
        <f>IFERROR(__xludf.DUMMYFUNCTION("""COMPUTED_VALUE"""),191.62857142857143)</f>
        <v>191.6285714</v>
      </c>
      <c r="C54" s="22">
        <f>IFERROR(__xludf.DUMMYFUNCTION("""COMPUTED_VALUE"""),125.85000000000002)</f>
        <v>125.85</v>
      </c>
      <c r="D54" s="22">
        <f>IFERROR(__xludf.DUMMYFUNCTION("""COMPUTED_VALUE"""),297.05)</f>
        <v>297.05</v>
      </c>
      <c r="E54" s="21">
        <f>IFERROR(__xludf.DUMMYFUNCTION("""COMPUTED_VALUE"""),193.6048701369196)</f>
        <v>193.6048701</v>
      </c>
      <c r="F54" s="21">
        <f>IFERROR(__xludf.DUMMYFUNCTION("""COMPUTED_VALUE"""),200.14642857142857)</f>
        <v>200.1464286</v>
      </c>
      <c r="G54" s="21">
        <f>IFERROR(__xludf.DUMMYFUNCTION("""COMPUTED_VALUE"""),303.956152450091)</f>
        <v>303.9561525</v>
      </c>
    </row>
    <row r="55">
      <c r="A55" s="23">
        <f>IFERROR(__xludf.DUMMYFUNCTION("""COMPUTED_VALUE"""),44615.0)</f>
        <v>44615</v>
      </c>
      <c r="B55" s="21">
        <f>IFERROR(__xludf.DUMMYFUNCTION("""COMPUTED_VALUE"""),191.62857142857143)</f>
        <v>191.6285714</v>
      </c>
      <c r="C55" s="22">
        <f>IFERROR(__xludf.DUMMYFUNCTION("""COMPUTED_VALUE"""),125.85000000000002)</f>
        <v>125.85</v>
      </c>
      <c r="D55" s="22">
        <f>IFERROR(__xludf.DUMMYFUNCTION("""COMPUTED_VALUE"""),297.05)</f>
        <v>297.05</v>
      </c>
      <c r="E55" s="21">
        <f>IFERROR(__xludf.DUMMYFUNCTION("""COMPUTED_VALUE"""),189.0369889320895)</f>
        <v>189.0369889</v>
      </c>
      <c r="F55" s="21">
        <f>IFERROR(__xludf.DUMMYFUNCTION("""COMPUTED_VALUE"""),199.05214285714285)</f>
        <v>199.0521429</v>
      </c>
      <c r="G55" s="21">
        <f>IFERROR(__xludf.DUMMYFUNCTION("""COMPUTED_VALUE"""),303.956152450091)</f>
        <v>303.9561525</v>
      </c>
    </row>
    <row r="56">
      <c r="A56" s="23">
        <f>IFERROR(__xludf.DUMMYFUNCTION("""COMPUTED_VALUE"""),44616.0)</f>
        <v>44616</v>
      </c>
      <c r="B56" s="21">
        <f>IFERROR(__xludf.DUMMYFUNCTION("""COMPUTED_VALUE"""),191.62857142857143)</f>
        <v>191.6285714</v>
      </c>
      <c r="C56" s="22">
        <f>IFERROR(__xludf.DUMMYFUNCTION("""COMPUTED_VALUE"""),125.85000000000002)</f>
        <v>125.85</v>
      </c>
      <c r="D56" s="22">
        <f>IFERROR(__xludf.DUMMYFUNCTION("""COMPUTED_VALUE"""),297.05)</f>
        <v>297.05</v>
      </c>
      <c r="E56" s="21">
        <f>IFERROR(__xludf.DUMMYFUNCTION("""COMPUTED_VALUE"""),194.46319099785387)</f>
        <v>194.463191</v>
      </c>
      <c r="F56" s="21">
        <f>IFERROR(__xludf.DUMMYFUNCTION("""COMPUTED_VALUE"""),197.95785714285714)</f>
        <v>197.9578571</v>
      </c>
      <c r="G56" s="21">
        <f>IFERROR(__xludf.DUMMYFUNCTION("""COMPUTED_VALUE"""),303.956152450091)</f>
        <v>303.9561525</v>
      </c>
    </row>
    <row r="57">
      <c r="A57" s="23">
        <f>IFERROR(__xludf.DUMMYFUNCTION("""COMPUTED_VALUE"""),44617.0)</f>
        <v>44617</v>
      </c>
      <c r="B57" s="21">
        <f>IFERROR(__xludf.DUMMYFUNCTION("""COMPUTED_VALUE"""),191.62857142857143)</f>
        <v>191.6285714</v>
      </c>
      <c r="C57" s="22">
        <f>IFERROR(__xludf.DUMMYFUNCTION("""COMPUTED_VALUE"""),125.85000000000002)</f>
        <v>125.85</v>
      </c>
      <c r="D57" s="22">
        <f>IFERROR(__xludf.DUMMYFUNCTION("""COMPUTED_VALUE"""),297.05)</f>
        <v>297.05</v>
      </c>
      <c r="E57" s="21">
        <f>IFERROR(__xludf.DUMMYFUNCTION("""COMPUTED_VALUE"""),206.32674142539312)</f>
        <v>206.3267414</v>
      </c>
      <c r="F57" s="21">
        <f>IFERROR(__xludf.DUMMYFUNCTION("""COMPUTED_VALUE"""),196.86357142857142)</f>
        <v>196.8635714</v>
      </c>
      <c r="G57" s="21">
        <f>IFERROR(__xludf.DUMMYFUNCTION("""COMPUTED_VALUE"""),303.956152450091)</f>
        <v>303.9561525</v>
      </c>
    </row>
    <row r="58">
      <c r="A58" s="23">
        <f>IFERROR(__xludf.DUMMYFUNCTION("""COMPUTED_VALUE"""),44618.0)</f>
        <v>44618</v>
      </c>
      <c r="B58" s="21">
        <f>IFERROR(__xludf.DUMMYFUNCTION("""COMPUTED_VALUE"""),191.62857142857143)</f>
        <v>191.6285714</v>
      </c>
      <c r="C58" s="22">
        <f>IFERROR(__xludf.DUMMYFUNCTION("""COMPUTED_VALUE"""),125.85000000000002)</f>
        <v>125.85</v>
      </c>
      <c r="D58" s="22">
        <f>IFERROR(__xludf.DUMMYFUNCTION("""COMPUTED_VALUE"""),297.05)</f>
        <v>297.05</v>
      </c>
      <c r="E58" s="21">
        <f>IFERROR(__xludf.DUMMYFUNCTION("""COMPUTED_VALUE"""),216.5353382748208)</f>
        <v>216.5353383</v>
      </c>
      <c r="F58" s="21">
        <f>IFERROR(__xludf.DUMMYFUNCTION("""COMPUTED_VALUE"""),195.76928571428567)</f>
        <v>195.7692857</v>
      </c>
      <c r="G58" s="21">
        <f>IFERROR(__xludf.DUMMYFUNCTION("""COMPUTED_VALUE"""),303.956152450091)</f>
        <v>303.9561525</v>
      </c>
    </row>
    <row r="59">
      <c r="A59" s="23">
        <f>IFERROR(__xludf.DUMMYFUNCTION("""COMPUTED_VALUE"""),44619.0)</f>
        <v>44619</v>
      </c>
      <c r="B59" s="21">
        <f>IFERROR(__xludf.DUMMYFUNCTION("""COMPUTED_VALUE"""),191.62857142857143)</f>
        <v>191.6285714</v>
      </c>
      <c r="C59" s="22">
        <f>IFERROR(__xludf.DUMMYFUNCTION("""COMPUTED_VALUE"""),125.85000000000002)</f>
        <v>125.85</v>
      </c>
      <c r="D59" s="22">
        <f>IFERROR(__xludf.DUMMYFUNCTION("""COMPUTED_VALUE"""),297.05)</f>
        <v>297.05</v>
      </c>
      <c r="E59" s="21">
        <f>IFERROR(__xludf.DUMMYFUNCTION("""COMPUTED_VALUE"""),219.53044023395856)</f>
        <v>219.5304402</v>
      </c>
      <c r="F59" s="21">
        <f>IFERROR(__xludf.DUMMYFUNCTION("""COMPUTED_VALUE"""),194.67499999999998)</f>
        <v>194.675</v>
      </c>
      <c r="G59" s="21">
        <f>IFERROR(__xludf.DUMMYFUNCTION("""COMPUTED_VALUE"""),303.956152450091)</f>
        <v>303.9561525</v>
      </c>
    </row>
    <row r="60">
      <c r="A60" s="23">
        <f>IFERROR(__xludf.DUMMYFUNCTION("""COMPUTED_VALUE"""),44620.0)</f>
        <v>44620</v>
      </c>
      <c r="B60" s="21">
        <f>IFERROR(__xludf.DUMMYFUNCTION("""COMPUTED_VALUE"""),209.06666666666672)</f>
        <v>209.0666667</v>
      </c>
      <c r="C60" s="22">
        <f>IFERROR(__xludf.DUMMYFUNCTION("""COMPUTED_VALUE"""),152.35)</f>
        <v>152.35</v>
      </c>
      <c r="D60" s="22">
        <f>IFERROR(__xludf.DUMMYFUNCTION("""COMPUTED_VALUE"""),360.25)</f>
        <v>360.25</v>
      </c>
      <c r="E60" s="21">
        <f>IFERROR(__xludf.DUMMYFUNCTION("""COMPUTED_VALUE"""),228.63428195557864)</f>
        <v>228.634282</v>
      </c>
      <c r="F60" s="21">
        <f>IFERROR(__xludf.DUMMYFUNCTION("""COMPUTED_VALUE"""),198.9935714285714)</f>
        <v>198.9935714</v>
      </c>
      <c r="G60" s="21">
        <f>IFERROR(__xludf.DUMMYFUNCTION("""COMPUTED_VALUE"""),303.956152450091)</f>
        <v>303.9561525</v>
      </c>
    </row>
    <row r="61">
      <c r="A61" s="20">
        <f>IFERROR(__xludf.DUMMYFUNCTION("""COMPUTED_VALUE"""),44621.0)</f>
        <v>44621</v>
      </c>
      <c r="B61" s="21">
        <f>IFERROR(__xludf.DUMMYFUNCTION("""COMPUTED_VALUE"""),209.06666666666672)</f>
        <v>209.0666667</v>
      </c>
      <c r="C61" s="22">
        <f>IFERROR(__xludf.DUMMYFUNCTION("""COMPUTED_VALUE"""),152.35)</f>
        <v>152.35</v>
      </c>
      <c r="D61" s="22">
        <f>IFERROR(__xludf.DUMMYFUNCTION("""COMPUTED_VALUE"""),360.25)</f>
        <v>360.25</v>
      </c>
      <c r="E61" s="21">
        <f>IFERROR(__xludf.DUMMYFUNCTION("""COMPUTED_VALUE"""),241.20341934753782)</f>
        <v>241.2034193</v>
      </c>
      <c r="F61" s="21">
        <f>IFERROR(__xludf.DUMMYFUNCTION("""COMPUTED_VALUE"""),203.31214285714285)</f>
        <v>203.3121429</v>
      </c>
      <c r="G61" s="21">
        <f>IFERROR(__xludf.DUMMYFUNCTION("""COMPUTED_VALUE"""),303.956152450091)</f>
        <v>303.9561525</v>
      </c>
    </row>
    <row r="62">
      <c r="A62" s="20">
        <f>IFERROR(__xludf.DUMMYFUNCTION("""COMPUTED_VALUE"""),44622.0)</f>
        <v>44622</v>
      </c>
      <c r="B62" s="21">
        <f>IFERROR(__xludf.DUMMYFUNCTION("""COMPUTED_VALUE"""),209.06666666666672)</f>
        <v>209.0666667</v>
      </c>
      <c r="C62" s="22">
        <f>IFERROR(__xludf.DUMMYFUNCTION("""COMPUTED_VALUE"""),152.35)</f>
        <v>152.35</v>
      </c>
      <c r="D62" s="22">
        <f>IFERROR(__xludf.DUMMYFUNCTION("""COMPUTED_VALUE"""),360.25)</f>
        <v>360.25</v>
      </c>
      <c r="E62" s="21">
        <f>IFERROR(__xludf.DUMMYFUNCTION("""COMPUTED_VALUE"""),253.36768067402045)</f>
        <v>253.3676807</v>
      </c>
      <c r="F62" s="21">
        <f>IFERROR(__xludf.DUMMYFUNCTION("""COMPUTED_VALUE"""),207.63071428571428)</f>
        <v>207.6307143</v>
      </c>
      <c r="G62" s="21">
        <f>IFERROR(__xludf.DUMMYFUNCTION("""COMPUTED_VALUE"""),303.956152450091)</f>
        <v>303.9561525</v>
      </c>
    </row>
    <row r="63">
      <c r="A63" s="20">
        <f>IFERROR(__xludf.DUMMYFUNCTION("""COMPUTED_VALUE"""),44623.0)</f>
        <v>44623</v>
      </c>
      <c r="B63" s="21">
        <f>IFERROR(__xludf.DUMMYFUNCTION("""COMPUTED_VALUE"""),209.06666666666672)</f>
        <v>209.0666667</v>
      </c>
      <c r="C63" s="22">
        <f>IFERROR(__xludf.DUMMYFUNCTION("""COMPUTED_VALUE"""),152.35)</f>
        <v>152.35</v>
      </c>
      <c r="D63" s="22">
        <f>IFERROR(__xludf.DUMMYFUNCTION("""COMPUTED_VALUE"""),360.25)</f>
        <v>360.25</v>
      </c>
      <c r="E63" s="21">
        <f>IFERROR(__xludf.DUMMYFUNCTION("""COMPUTED_VALUE"""),274.1036362464237)</f>
        <v>274.1036362</v>
      </c>
      <c r="F63" s="21">
        <f>IFERROR(__xludf.DUMMYFUNCTION("""COMPUTED_VALUE"""),211.9492857142857)</f>
        <v>211.9492857</v>
      </c>
      <c r="G63" s="21">
        <f>IFERROR(__xludf.DUMMYFUNCTION("""COMPUTED_VALUE"""),303.956152450091)</f>
        <v>303.9561525</v>
      </c>
    </row>
    <row r="64">
      <c r="A64" s="20">
        <f>IFERROR(__xludf.DUMMYFUNCTION("""COMPUTED_VALUE"""),44624.0)</f>
        <v>44624</v>
      </c>
      <c r="B64" s="21">
        <f>IFERROR(__xludf.DUMMYFUNCTION("""COMPUTED_VALUE"""),209.06666666666672)</f>
        <v>209.0666667</v>
      </c>
      <c r="C64" s="22">
        <f>IFERROR(__xludf.DUMMYFUNCTION("""COMPUTED_VALUE"""),152.35)</f>
        <v>152.35</v>
      </c>
      <c r="D64" s="22">
        <f>IFERROR(__xludf.DUMMYFUNCTION("""COMPUTED_VALUE"""),360.25)</f>
        <v>360.25</v>
      </c>
      <c r="E64" s="21">
        <f>IFERROR(__xludf.DUMMYFUNCTION("""COMPUTED_VALUE"""),288.0978415680789)</f>
        <v>288.0978416</v>
      </c>
      <c r="F64" s="21">
        <f>IFERROR(__xludf.DUMMYFUNCTION("""COMPUTED_VALUE"""),216.26785714285714)</f>
        <v>216.2678571</v>
      </c>
      <c r="G64" s="21">
        <f>IFERROR(__xludf.DUMMYFUNCTION("""COMPUTED_VALUE"""),303.956152450091)</f>
        <v>303.9561525</v>
      </c>
    </row>
    <row r="65">
      <c r="A65" s="20">
        <f>IFERROR(__xludf.DUMMYFUNCTION("""COMPUTED_VALUE"""),44625.0)</f>
        <v>44625</v>
      </c>
      <c r="B65" s="21">
        <f>IFERROR(__xludf.DUMMYFUNCTION("""COMPUTED_VALUE"""),209.06666666666672)</f>
        <v>209.0666667</v>
      </c>
      <c r="C65" s="22">
        <f>IFERROR(__xludf.DUMMYFUNCTION("""COMPUTED_VALUE"""),152.35)</f>
        <v>152.35</v>
      </c>
      <c r="D65" s="22">
        <f>IFERROR(__xludf.DUMMYFUNCTION("""COMPUTED_VALUE"""),360.25)</f>
        <v>360.25</v>
      </c>
      <c r="E65" s="21">
        <f>IFERROR(__xludf.DUMMYFUNCTION("""COMPUTED_VALUE"""),304.37098499423377)</f>
        <v>304.370985</v>
      </c>
      <c r="F65" s="21">
        <f>IFERROR(__xludf.DUMMYFUNCTION("""COMPUTED_VALUE"""),220.58642857142857)</f>
        <v>220.5864286</v>
      </c>
      <c r="G65" s="21">
        <f>IFERROR(__xludf.DUMMYFUNCTION("""COMPUTED_VALUE"""),303.956152450091)</f>
        <v>303.9561525</v>
      </c>
    </row>
    <row r="66">
      <c r="A66" s="20">
        <f>IFERROR(__xludf.DUMMYFUNCTION("""COMPUTED_VALUE"""),44626.0)</f>
        <v>44626</v>
      </c>
      <c r="B66" s="21">
        <f>IFERROR(__xludf.DUMMYFUNCTION("""COMPUTED_VALUE"""),209.06666666666672)</f>
        <v>209.0666667</v>
      </c>
      <c r="C66" s="22">
        <f>IFERROR(__xludf.DUMMYFUNCTION("""COMPUTED_VALUE"""),152.35)</f>
        <v>152.35</v>
      </c>
      <c r="D66" s="22">
        <f>IFERROR(__xludf.DUMMYFUNCTION("""COMPUTED_VALUE"""),360.25)</f>
        <v>360.25</v>
      </c>
      <c r="E66" s="21">
        <f>IFERROR(__xludf.DUMMYFUNCTION("""COMPUTED_VALUE"""),329.4190190033054)</f>
        <v>329.419019</v>
      </c>
      <c r="F66" s="21">
        <f>IFERROR(__xludf.DUMMYFUNCTION("""COMPUTED_VALUE"""),224.90499999999997)</f>
        <v>224.905</v>
      </c>
      <c r="G66" s="21">
        <f>IFERROR(__xludf.DUMMYFUNCTION("""COMPUTED_VALUE"""),303.956152450091)</f>
        <v>303.9561525</v>
      </c>
    </row>
    <row r="67">
      <c r="A67" s="20">
        <f>IFERROR(__xludf.DUMMYFUNCTION("""COMPUTED_VALUE"""),44627.0)</f>
        <v>44627</v>
      </c>
      <c r="B67" s="21">
        <f>IFERROR(__xludf.DUMMYFUNCTION("""COMPUTED_VALUE"""),225.22307692307695)</f>
        <v>225.2230769</v>
      </c>
      <c r="C67" s="22">
        <f>IFERROR(__xludf.DUMMYFUNCTION("""COMPUTED_VALUE"""),152.35)</f>
        <v>152.35</v>
      </c>
      <c r="D67" s="22">
        <f>IFERROR(__xludf.DUMMYFUNCTION("""COMPUTED_VALUE"""),415.15000000000003)</f>
        <v>415.15</v>
      </c>
      <c r="E67" s="21">
        <f>IFERROR(__xludf.DUMMYFUNCTION("""COMPUTED_VALUE"""),359.1668447538074)</f>
        <v>359.1668448</v>
      </c>
      <c r="F67" s="21">
        <f>IFERROR(__xludf.DUMMYFUNCTION("""COMPUTED_VALUE"""),231.33071428571427)</f>
        <v>231.3307143</v>
      </c>
      <c r="G67" s="21">
        <f>IFERROR(__xludf.DUMMYFUNCTION("""COMPUTED_VALUE"""),303.956152450091)</f>
        <v>303.9561525</v>
      </c>
    </row>
    <row r="68">
      <c r="A68" s="20">
        <f>IFERROR(__xludf.DUMMYFUNCTION("""COMPUTED_VALUE"""),44628.0)</f>
        <v>44628</v>
      </c>
      <c r="B68" s="21">
        <f>IFERROR(__xludf.DUMMYFUNCTION("""COMPUTED_VALUE"""),225.22307692307695)</f>
        <v>225.2230769</v>
      </c>
      <c r="C68" s="22">
        <f>IFERROR(__xludf.DUMMYFUNCTION("""COMPUTED_VALUE"""),152.35)</f>
        <v>152.35</v>
      </c>
      <c r="D68" s="22">
        <f>IFERROR(__xludf.DUMMYFUNCTION("""COMPUTED_VALUE"""),415.15000000000003)</f>
        <v>415.15</v>
      </c>
      <c r="E68" s="21">
        <f>IFERROR(__xludf.DUMMYFUNCTION("""COMPUTED_VALUE"""),404.5125414843164)</f>
        <v>404.5125415</v>
      </c>
      <c r="F68" s="21">
        <f>IFERROR(__xludf.DUMMYFUNCTION("""COMPUTED_VALUE"""),237.75642857142856)</f>
        <v>237.7564286</v>
      </c>
      <c r="G68" s="21">
        <f>IFERROR(__xludf.DUMMYFUNCTION("""COMPUTED_VALUE"""),303.956152450091)</f>
        <v>303.9561525</v>
      </c>
    </row>
    <row r="69">
      <c r="A69" s="20">
        <f>IFERROR(__xludf.DUMMYFUNCTION("""COMPUTED_VALUE"""),44629.0)</f>
        <v>44629</v>
      </c>
      <c r="B69" s="21">
        <f>IFERROR(__xludf.DUMMYFUNCTION("""COMPUTED_VALUE"""),225.22307692307695)</f>
        <v>225.2230769</v>
      </c>
      <c r="C69" s="22">
        <f>IFERROR(__xludf.DUMMYFUNCTION("""COMPUTED_VALUE"""),152.35)</f>
        <v>152.35</v>
      </c>
      <c r="D69" s="22">
        <f>IFERROR(__xludf.DUMMYFUNCTION("""COMPUTED_VALUE"""),415.15000000000003)</f>
        <v>415.15</v>
      </c>
      <c r="E69" s="21">
        <f>IFERROR(__xludf.DUMMYFUNCTION("""COMPUTED_VALUE"""),431.4242386730185)</f>
        <v>431.4242387</v>
      </c>
      <c r="F69" s="21">
        <f>IFERROR(__xludf.DUMMYFUNCTION("""COMPUTED_VALUE"""),244.18214285714285)</f>
        <v>244.1821429</v>
      </c>
      <c r="G69" s="21">
        <f>IFERROR(__xludf.DUMMYFUNCTION("""COMPUTED_VALUE"""),303.956152450091)</f>
        <v>303.9561525</v>
      </c>
    </row>
    <row r="70">
      <c r="A70" s="20">
        <f>IFERROR(__xludf.DUMMYFUNCTION("""COMPUTED_VALUE"""),44630.0)</f>
        <v>44630</v>
      </c>
      <c r="B70" s="21">
        <f>IFERROR(__xludf.DUMMYFUNCTION("""COMPUTED_VALUE"""),225.22307692307695)</f>
        <v>225.2230769</v>
      </c>
      <c r="C70" s="22">
        <f>IFERROR(__xludf.DUMMYFUNCTION("""COMPUTED_VALUE"""),152.35)</f>
        <v>152.35</v>
      </c>
      <c r="D70" s="22">
        <f>IFERROR(__xludf.DUMMYFUNCTION("""COMPUTED_VALUE"""),415.15000000000003)</f>
        <v>415.15</v>
      </c>
      <c r="E70" s="21">
        <f>IFERROR(__xludf.DUMMYFUNCTION("""COMPUTED_VALUE"""),435.07478826845414)</f>
        <v>435.0747883</v>
      </c>
      <c r="F70" s="21">
        <f>IFERROR(__xludf.DUMMYFUNCTION("""COMPUTED_VALUE"""),250.60785714285717)</f>
        <v>250.6078571</v>
      </c>
      <c r="G70" s="21">
        <f>IFERROR(__xludf.DUMMYFUNCTION("""COMPUTED_VALUE"""),303.956152450091)</f>
        <v>303.9561525</v>
      </c>
    </row>
    <row r="71">
      <c r="A71" s="20">
        <f>IFERROR(__xludf.DUMMYFUNCTION("""COMPUTED_VALUE"""),44631.0)</f>
        <v>44631</v>
      </c>
      <c r="B71" s="21">
        <f>IFERROR(__xludf.DUMMYFUNCTION("""COMPUTED_VALUE"""),225.22307692307695)</f>
        <v>225.2230769</v>
      </c>
      <c r="C71" s="22">
        <f>IFERROR(__xludf.DUMMYFUNCTION("""COMPUTED_VALUE"""),152.35)</f>
        <v>152.35</v>
      </c>
      <c r="D71" s="22">
        <f>IFERROR(__xludf.DUMMYFUNCTION("""COMPUTED_VALUE"""),415.15000000000003)</f>
        <v>415.15</v>
      </c>
      <c r="E71" s="21">
        <f>IFERROR(__xludf.DUMMYFUNCTION("""COMPUTED_VALUE"""),433.55419145428374)</f>
        <v>433.5541915</v>
      </c>
      <c r="F71" s="21">
        <f>IFERROR(__xludf.DUMMYFUNCTION("""COMPUTED_VALUE"""),257.0335714285714)</f>
        <v>257.0335714</v>
      </c>
      <c r="G71" s="21">
        <f>IFERROR(__xludf.DUMMYFUNCTION("""COMPUTED_VALUE"""),303.956152450091)</f>
        <v>303.9561525</v>
      </c>
    </row>
    <row r="72">
      <c r="A72" s="20">
        <f>IFERROR(__xludf.DUMMYFUNCTION("""COMPUTED_VALUE"""),44632.0)</f>
        <v>44632</v>
      </c>
      <c r="B72" s="21">
        <f>IFERROR(__xludf.DUMMYFUNCTION("""COMPUTED_VALUE"""),225.22307692307695)</f>
        <v>225.2230769</v>
      </c>
      <c r="C72" s="22">
        <f>IFERROR(__xludf.DUMMYFUNCTION("""COMPUTED_VALUE"""),152.35)</f>
        <v>152.35</v>
      </c>
      <c r="D72" s="22">
        <f>IFERROR(__xludf.DUMMYFUNCTION("""COMPUTED_VALUE"""),415.15000000000003)</f>
        <v>415.15</v>
      </c>
      <c r="E72" s="21">
        <f>IFERROR(__xludf.DUMMYFUNCTION("""COMPUTED_VALUE"""),402.45303026306505)</f>
        <v>402.4530303</v>
      </c>
      <c r="F72" s="21">
        <f>IFERROR(__xludf.DUMMYFUNCTION("""COMPUTED_VALUE"""),263.4592857142857)</f>
        <v>263.4592857</v>
      </c>
      <c r="G72" s="21">
        <f>IFERROR(__xludf.DUMMYFUNCTION("""COMPUTED_VALUE"""),303.956152450091)</f>
        <v>303.9561525</v>
      </c>
    </row>
    <row r="73">
      <c r="A73" s="23">
        <f>IFERROR(__xludf.DUMMYFUNCTION("""COMPUTED_VALUE"""),44633.0)</f>
        <v>44633</v>
      </c>
      <c r="B73" s="21">
        <f>IFERROR(__xludf.DUMMYFUNCTION("""COMPUTED_VALUE"""),225.22307692307695)</f>
        <v>225.2230769</v>
      </c>
      <c r="C73" s="22">
        <f>IFERROR(__xludf.DUMMYFUNCTION("""COMPUTED_VALUE"""),152.35)</f>
        <v>152.35</v>
      </c>
      <c r="D73" s="22">
        <f>IFERROR(__xludf.DUMMYFUNCTION("""COMPUTED_VALUE"""),415.15000000000003)</f>
        <v>415.15</v>
      </c>
      <c r="E73" s="21">
        <f>IFERROR(__xludf.DUMMYFUNCTION("""COMPUTED_VALUE"""),392.5812635503172)</f>
        <v>392.5812636</v>
      </c>
      <c r="F73" s="21">
        <f>IFERROR(__xludf.DUMMYFUNCTION("""COMPUTED_VALUE"""),269.885)</f>
        <v>269.885</v>
      </c>
      <c r="G73" s="21">
        <f>IFERROR(__xludf.DUMMYFUNCTION("""COMPUTED_VALUE"""),303.956152450091)</f>
        <v>303.9561525</v>
      </c>
    </row>
    <row r="74">
      <c r="A74" s="23">
        <f>IFERROR(__xludf.DUMMYFUNCTION("""COMPUTED_VALUE"""),44634.0)</f>
        <v>44634</v>
      </c>
      <c r="B74" s="21">
        <f>IFERROR(__xludf.DUMMYFUNCTION("""COMPUTED_VALUE"""),216.20000000000002)</f>
        <v>216.2</v>
      </c>
      <c r="C74" s="22">
        <f>IFERROR(__xludf.DUMMYFUNCTION("""COMPUTED_VALUE"""),133.45000000000002)</f>
        <v>133.45</v>
      </c>
      <c r="D74" s="22">
        <f>IFERROR(__xludf.DUMMYFUNCTION("""COMPUTED_VALUE"""),372.05)</f>
        <v>372.05</v>
      </c>
      <c r="E74" s="21">
        <f>IFERROR(__xludf.DUMMYFUNCTION("""COMPUTED_VALUE"""),373.6751330080645)</f>
        <v>373.675133</v>
      </c>
      <c r="F74" s="21">
        <f>IFERROR(__xludf.DUMMYFUNCTION("""COMPUTED_VALUE"""),270.21464285714285)</f>
        <v>270.2146429</v>
      </c>
      <c r="G74" s="21">
        <f>IFERROR(__xludf.DUMMYFUNCTION("""COMPUTED_VALUE"""),303.956152450091)</f>
        <v>303.9561525</v>
      </c>
    </row>
    <row r="75">
      <c r="A75" s="23">
        <f>IFERROR(__xludf.DUMMYFUNCTION("""COMPUTED_VALUE"""),44635.0)</f>
        <v>44635</v>
      </c>
      <c r="B75" s="21">
        <f>IFERROR(__xludf.DUMMYFUNCTION("""COMPUTED_VALUE"""),216.20000000000002)</f>
        <v>216.2</v>
      </c>
      <c r="C75" s="22">
        <f>IFERROR(__xludf.DUMMYFUNCTION("""COMPUTED_VALUE"""),133.45000000000002)</f>
        <v>133.45</v>
      </c>
      <c r="D75" s="22">
        <f>IFERROR(__xludf.DUMMYFUNCTION("""COMPUTED_VALUE"""),372.05)</f>
        <v>372.05</v>
      </c>
      <c r="E75" s="21">
        <f>IFERROR(__xludf.DUMMYFUNCTION("""COMPUTED_VALUE"""),332.6215545803474)</f>
        <v>332.6215546</v>
      </c>
      <c r="F75" s="21">
        <f>IFERROR(__xludf.DUMMYFUNCTION("""COMPUTED_VALUE"""),270.5442857142857)</f>
        <v>270.5442857</v>
      </c>
      <c r="G75" s="21">
        <f>IFERROR(__xludf.DUMMYFUNCTION("""COMPUTED_VALUE"""),303.956152450091)</f>
        <v>303.9561525</v>
      </c>
    </row>
    <row r="76">
      <c r="A76" s="23">
        <f>IFERROR(__xludf.DUMMYFUNCTION("""COMPUTED_VALUE"""),44636.0)</f>
        <v>44636</v>
      </c>
      <c r="B76" s="21">
        <f>IFERROR(__xludf.DUMMYFUNCTION("""COMPUTED_VALUE"""),216.20000000000002)</f>
        <v>216.2</v>
      </c>
      <c r="C76" s="22">
        <f>IFERROR(__xludf.DUMMYFUNCTION("""COMPUTED_VALUE"""),133.45000000000002)</f>
        <v>133.45</v>
      </c>
      <c r="D76" s="22">
        <f>IFERROR(__xludf.DUMMYFUNCTION("""COMPUTED_VALUE"""),372.05)</f>
        <v>372.05</v>
      </c>
      <c r="E76" s="21">
        <f>IFERROR(__xludf.DUMMYFUNCTION("""COMPUTED_VALUE"""),306.3714074421358)</f>
        <v>306.3714074</v>
      </c>
      <c r="F76" s="21">
        <f>IFERROR(__xludf.DUMMYFUNCTION("""COMPUTED_VALUE"""),270.8739285714286)</f>
        <v>270.8739286</v>
      </c>
      <c r="G76" s="21">
        <f>IFERROR(__xludf.DUMMYFUNCTION("""COMPUTED_VALUE"""),303.956152450091)</f>
        <v>303.9561525</v>
      </c>
    </row>
    <row r="77">
      <c r="A77" s="23">
        <f>IFERROR(__xludf.DUMMYFUNCTION("""COMPUTED_VALUE"""),44637.0)</f>
        <v>44637</v>
      </c>
      <c r="B77" s="21">
        <f>IFERROR(__xludf.DUMMYFUNCTION("""COMPUTED_VALUE"""),216.20000000000002)</f>
        <v>216.2</v>
      </c>
      <c r="C77" s="22">
        <f>IFERROR(__xludf.DUMMYFUNCTION("""COMPUTED_VALUE"""),133.45000000000002)</f>
        <v>133.45</v>
      </c>
      <c r="D77" s="22">
        <f>IFERROR(__xludf.DUMMYFUNCTION("""COMPUTED_VALUE"""),372.05)</f>
        <v>372.05</v>
      </c>
      <c r="E77" s="21">
        <f>IFERROR(__xludf.DUMMYFUNCTION("""COMPUTED_VALUE"""),288.1816686974093)</f>
        <v>288.1816687</v>
      </c>
      <c r="F77" s="21">
        <f>IFERROR(__xludf.DUMMYFUNCTION("""COMPUTED_VALUE"""),271.2035714285715)</f>
        <v>271.2035714</v>
      </c>
      <c r="G77" s="21">
        <f>IFERROR(__xludf.DUMMYFUNCTION("""COMPUTED_VALUE"""),303.956152450091)</f>
        <v>303.9561525</v>
      </c>
    </row>
    <row r="78">
      <c r="A78" s="23">
        <f>IFERROR(__xludf.DUMMYFUNCTION("""COMPUTED_VALUE"""),44638.0)</f>
        <v>44638</v>
      </c>
      <c r="B78" s="21">
        <f>IFERROR(__xludf.DUMMYFUNCTION("""COMPUTED_VALUE"""),216.20000000000002)</f>
        <v>216.2</v>
      </c>
      <c r="C78" s="22">
        <f>IFERROR(__xludf.DUMMYFUNCTION("""COMPUTED_VALUE"""),133.45000000000002)</f>
        <v>133.45</v>
      </c>
      <c r="D78" s="22">
        <f>IFERROR(__xludf.DUMMYFUNCTION("""COMPUTED_VALUE"""),372.05)</f>
        <v>372.05</v>
      </c>
      <c r="E78" s="21">
        <f>IFERROR(__xludf.DUMMYFUNCTION("""COMPUTED_VALUE"""),270.258832722293)</f>
        <v>270.2588327</v>
      </c>
      <c r="F78" s="21">
        <f>IFERROR(__xludf.DUMMYFUNCTION("""COMPUTED_VALUE"""),271.5332142857143)</f>
        <v>271.5332143</v>
      </c>
      <c r="G78" s="21">
        <f>IFERROR(__xludf.DUMMYFUNCTION("""COMPUTED_VALUE"""),303.956152450091)</f>
        <v>303.9561525</v>
      </c>
    </row>
    <row r="79">
      <c r="A79" s="23">
        <f>IFERROR(__xludf.DUMMYFUNCTION("""COMPUTED_VALUE"""),44639.0)</f>
        <v>44639</v>
      </c>
      <c r="B79" s="21">
        <f>IFERROR(__xludf.DUMMYFUNCTION("""COMPUTED_VALUE"""),216.20000000000002)</f>
        <v>216.2</v>
      </c>
      <c r="C79" s="22">
        <f>IFERROR(__xludf.DUMMYFUNCTION("""COMPUTED_VALUE"""),133.45000000000002)</f>
        <v>133.45</v>
      </c>
      <c r="D79" s="22">
        <f>IFERROR(__xludf.DUMMYFUNCTION("""COMPUTED_VALUE"""),372.05)</f>
        <v>372.05</v>
      </c>
      <c r="E79" s="21">
        <f>IFERROR(__xludf.DUMMYFUNCTION("""COMPUTED_VALUE"""),285.8430311044718)</f>
        <v>285.8430311</v>
      </c>
      <c r="F79" s="21">
        <f>IFERROR(__xludf.DUMMYFUNCTION("""COMPUTED_VALUE"""),271.8628571428572)</f>
        <v>271.8628571</v>
      </c>
      <c r="G79" s="21">
        <f>IFERROR(__xludf.DUMMYFUNCTION("""COMPUTED_VALUE"""),303.956152450091)</f>
        <v>303.9561525</v>
      </c>
    </row>
    <row r="80">
      <c r="A80" s="23">
        <f>IFERROR(__xludf.DUMMYFUNCTION("""COMPUTED_VALUE"""),44640.0)</f>
        <v>44640</v>
      </c>
      <c r="B80" s="21">
        <f>IFERROR(__xludf.DUMMYFUNCTION("""COMPUTED_VALUE"""),216.20000000000002)</f>
        <v>216.2</v>
      </c>
      <c r="C80" s="22">
        <f>IFERROR(__xludf.DUMMYFUNCTION("""COMPUTED_VALUE"""),133.45000000000002)</f>
        <v>133.45</v>
      </c>
      <c r="D80" s="22">
        <f>IFERROR(__xludf.DUMMYFUNCTION("""COMPUTED_VALUE"""),372.05)</f>
        <v>372.05</v>
      </c>
      <c r="E80" s="21">
        <f>IFERROR(__xludf.DUMMYFUNCTION("""COMPUTED_VALUE"""),274.1562337681764)</f>
        <v>274.1562338</v>
      </c>
      <c r="F80" s="21">
        <f>IFERROR(__xludf.DUMMYFUNCTION("""COMPUTED_VALUE"""),272.19250000000005)</f>
        <v>272.1925</v>
      </c>
      <c r="G80" s="21">
        <f>IFERROR(__xludf.DUMMYFUNCTION("""COMPUTED_VALUE"""),303.956152450091)</f>
        <v>303.9561525</v>
      </c>
    </row>
    <row r="81">
      <c r="A81" s="23">
        <f>IFERROR(__xludf.DUMMYFUNCTION("""COMPUTED_VALUE"""),44641.0)</f>
        <v>44641</v>
      </c>
      <c r="B81" s="21">
        <f>IFERROR(__xludf.DUMMYFUNCTION("""COMPUTED_VALUE"""),218.17857142857142)</f>
        <v>218.1785714</v>
      </c>
      <c r="C81" s="22">
        <f>IFERROR(__xludf.DUMMYFUNCTION("""COMPUTED_VALUE"""),152.7)</f>
        <v>152.7</v>
      </c>
      <c r="D81" s="22">
        <f>IFERROR(__xludf.DUMMYFUNCTION("""COMPUTED_VALUE"""),372.05)</f>
        <v>372.05</v>
      </c>
      <c r="E81" s="21">
        <f>IFERROR(__xludf.DUMMYFUNCTION("""COMPUTED_VALUE"""),262.7014373540045)</f>
        <v>262.7014374</v>
      </c>
      <c r="F81" s="21">
        <f>IFERROR(__xludf.DUMMYFUNCTION("""COMPUTED_VALUE"""),269.35857142857145)</f>
        <v>269.3585714</v>
      </c>
      <c r="G81" s="21">
        <f>IFERROR(__xludf.DUMMYFUNCTION("""COMPUTED_VALUE"""),303.956152450091)</f>
        <v>303.9561525</v>
      </c>
    </row>
    <row r="82">
      <c r="A82" s="23">
        <f>IFERROR(__xludf.DUMMYFUNCTION("""COMPUTED_VALUE"""),44642.0)</f>
        <v>44642</v>
      </c>
      <c r="B82" s="21">
        <f>IFERROR(__xludf.DUMMYFUNCTION("""COMPUTED_VALUE"""),218.17857142857142)</f>
        <v>218.1785714</v>
      </c>
      <c r="C82" s="22">
        <f>IFERROR(__xludf.DUMMYFUNCTION("""COMPUTED_VALUE"""),152.7)</f>
        <v>152.7</v>
      </c>
      <c r="D82" s="22">
        <f>IFERROR(__xludf.DUMMYFUNCTION("""COMPUTED_VALUE"""),372.05)</f>
        <v>372.05</v>
      </c>
      <c r="E82" s="21">
        <f>IFERROR(__xludf.DUMMYFUNCTION("""COMPUTED_VALUE"""),254.15866333118507)</f>
        <v>254.1586633</v>
      </c>
      <c r="F82" s="21">
        <f>IFERROR(__xludf.DUMMYFUNCTION("""COMPUTED_VALUE"""),266.52464285714285)</f>
        <v>266.5246429</v>
      </c>
      <c r="G82" s="21">
        <f>IFERROR(__xludf.DUMMYFUNCTION("""COMPUTED_VALUE"""),303.956152450091)</f>
        <v>303.9561525</v>
      </c>
    </row>
    <row r="83">
      <c r="A83" s="23">
        <f>IFERROR(__xludf.DUMMYFUNCTION("""COMPUTED_VALUE"""),44643.0)</f>
        <v>44643</v>
      </c>
      <c r="B83" s="21">
        <f>IFERROR(__xludf.DUMMYFUNCTION("""COMPUTED_VALUE"""),218.17857142857142)</f>
        <v>218.1785714</v>
      </c>
      <c r="C83" s="22">
        <f>IFERROR(__xludf.DUMMYFUNCTION("""COMPUTED_VALUE"""),152.7)</f>
        <v>152.7</v>
      </c>
      <c r="D83" s="22">
        <f>IFERROR(__xludf.DUMMYFUNCTION("""COMPUTED_VALUE"""),372.05)</f>
        <v>372.05</v>
      </c>
      <c r="E83" s="21">
        <f>IFERROR(__xludf.DUMMYFUNCTION("""COMPUTED_VALUE"""),248.1665682620475)</f>
        <v>248.1665683</v>
      </c>
      <c r="F83" s="21">
        <f>IFERROR(__xludf.DUMMYFUNCTION("""COMPUTED_VALUE"""),263.6907142857143)</f>
        <v>263.6907143</v>
      </c>
      <c r="G83" s="21">
        <f>IFERROR(__xludf.DUMMYFUNCTION("""COMPUTED_VALUE"""),303.956152450091)</f>
        <v>303.9561525</v>
      </c>
    </row>
    <row r="84">
      <c r="A84" s="23">
        <f>IFERROR(__xludf.DUMMYFUNCTION("""COMPUTED_VALUE"""),44644.0)</f>
        <v>44644</v>
      </c>
      <c r="B84" s="21">
        <f>IFERROR(__xludf.DUMMYFUNCTION("""COMPUTED_VALUE"""),218.17857142857142)</f>
        <v>218.1785714</v>
      </c>
      <c r="C84" s="22">
        <f>IFERROR(__xludf.DUMMYFUNCTION("""COMPUTED_VALUE"""),152.7)</f>
        <v>152.7</v>
      </c>
      <c r="D84" s="22">
        <f>IFERROR(__xludf.DUMMYFUNCTION("""COMPUTED_VALUE"""),372.05)</f>
        <v>372.05</v>
      </c>
      <c r="E84" s="21">
        <f>IFERROR(__xludf.DUMMYFUNCTION("""COMPUTED_VALUE"""),245.67013128844738)</f>
        <v>245.6701313</v>
      </c>
      <c r="F84" s="21">
        <f>IFERROR(__xludf.DUMMYFUNCTION("""COMPUTED_VALUE"""),260.8567857142857)</f>
        <v>260.8567857</v>
      </c>
      <c r="G84" s="21">
        <f>IFERROR(__xludf.DUMMYFUNCTION("""COMPUTED_VALUE"""),303.956152450091)</f>
        <v>303.9561525</v>
      </c>
    </row>
    <row r="85">
      <c r="A85" s="23">
        <f>IFERROR(__xludf.DUMMYFUNCTION("""COMPUTED_VALUE"""),44645.0)</f>
        <v>44645</v>
      </c>
      <c r="B85" s="21">
        <f>IFERROR(__xludf.DUMMYFUNCTION("""COMPUTED_VALUE"""),218.17857142857142)</f>
        <v>218.1785714</v>
      </c>
      <c r="C85" s="22">
        <f>IFERROR(__xludf.DUMMYFUNCTION("""COMPUTED_VALUE"""),152.7)</f>
        <v>152.7</v>
      </c>
      <c r="D85" s="22">
        <f>IFERROR(__xludf.DUMMYFUNCTION("""COMPUTED_VALUE"""),372.05)</f>
        <v>372.05</v>
      </c>
      <c r="E85" s="21">
        <f>IFERROR(__xludf.DUMMYFUNCTION("""COMPUTED_VALUE"""),249.62187029808052)</f>
        <v>249.6218703</v>
      </c>
      <c r="F85" s="21">
        <f>IFERROR(__xludf.DUMMYFUNCTION("""COMPUTED_VALUE"""),258.02285714285716)</f>
        <v>258.0228571</v>
      </c>
      <c r="G85" s="21">
        <f>IFERROR(__xludf.DUMMYFUNCTION("""COMPUTED_VALUE"""),303.956152450091)</f>
        <v>303.9561525</v>
      </c>
    </row>
    <row r="86">
      <c r="A86" s="23">
        <f>IFERROR(__xludf.DUMMYFUNCTION("""COMPUTED_VALUE"""),44646.0)</f>
        <v>44646</v>
      </c>
      <c r="B86" s="21">
        <f>IFERROR(__xludf.DUMMYFUNCTION("""COMPUTED_VALUE"""),218.17857142857142)</f>
        <v>218.1785714</v>
      </c>
      <c r="C86" s="22">
        <f>IFERROR(__xludf.DUMMYFUNCTION("""COMPUTED_VALUE"""),152.7)</f>
        <v>152.7</v>
      </c>
      <c r="D86" s="22">
        <f>IFERROR(__xludf.DUMMYFUNCTION("""COMPUTED_VALUE"""),372.05)</f>
        <v>372.05</v>
      </c>
      <c r="E86" s="21">
        <f>IFERROR(__xludf.DUMMYFUNCTION("""COMPUTED_VALUE"""),246.72745192617043)</f>
        <v>246.7274519</v>
      </c>
      <c r="F86" s="21">
        <f>IFERROR(__xludf.DUMMYFUNCTION("""COMPUTED_VALUE"""),255.1889285714286)</f>
        <v>255.1889286</v>
      </c>
      <c r="G86" s="21">
        <f>IFERROR(__xludf.DUMMYFUNCTION("""COMPUTED_VALUE"""),303.956152450091)</f>
        <v>303.9561525</v>
      </c>
    </row>
    <row r="87">
      <c r="A87" s="23">
        <f>IFERROR(__xludf.DUMMYFUNCTION("""COMPUTED_VALUE"""),44647.0)</f>
        <v>44647</v>
      </c>
      <c r="B87" s="21">
        <f>IFERROR(__xludf.DUMMYFUNCTION("""COMPUTED_VALUE"""),218.17857142857142)</f>
        <v>218.1785714</v>
      </c>
      <c r="C87" s="22">
        <f>IFERROR(__xludf.DUMMYFUNCTION("""COMPUTED_VALUE"""),152.7)</f>
        <v>152.7</v>
      </c>
      <c r="D87" s="22">
        <f>IFERROR(__xludf.DUMMYFUNCTION("""COMPUTED_VALUE"""),372.05)</f>
        <v>372.05</v>
      </c>
      <c r="E87" s="21">
        <f>IFERROR(__xludf.DUMMYFUNCTION("""COMPUTED_VALUE"""),243.7306579107105)</f>
        <v>243.7306579</v>
      </c>
      <c r="F87" s="21">
        <f>IFERROR(__xludf.DUMMYFUNCTION("""COMPUTED_VALUE"""),252.35500000000002)</f>
        <v>252.355</v>
      </c>
      <c r="G87" s="21">
        <f>IFERROR(__xludf.DUMMYFUNCTION("""COMPUTED_VALUE"""),303.956152450091)</f>
        <v>303.9561525</v>
      </c>
    </row>
    <row r="88">
      <c r="A88" s="23">
        <f>IFERROR(__xludf.DUMMYFUNCTION("""COMPUTED_VALUE"""),44648.0)</f>
        <v>44648</v>
      </c>
      <c r="B88" s="21">
        <f>IFERROR(__xludf.DUMMYFUNCTION("""COMPUTED_VALUE"""),234.44545454545454)</f>
        <v>234.4454545</v>
      </c>
      <c r="C88" s="22">
        <f>IFERROR(__xludf.DUMMYFUNCTION("""COMPUTED_VALUE"""),161.70000000000002)</f>
        <v>161.7</v>
      </c>
      <c r="D88" s="22">
        <f>IFERROR(__xludf.DUMMYFUNCTION("""COMPUTED_VALUE"""),372.05)</f>
        <v>372.05</v>
      </c>
      <c r="E88" s="21">
        <f>IFERROR(__xludf.DUMMYFUNCTION("""COMPUTED_VALUE"""),245.02310316223978)</f>
        <v>245.0231032</v>
      </c>
      <c r="F88" s="21">
        <f>IFERROR(__xludf.DUMMYFUNCTION("""COMPUTED_VALUE"""),252.19642857142858)</f>
        <v>252.1964286</v>
      </c>
      <c r="G88" s="21">
        <f>IFERROR(__xludf.DUMMYFUNCTION("""COMPUTED_VALUE"""),303.956152450091)</f>
        <v>303.9561525</v>
      </c>
    </row>
    <row r="89">
      <c r="A89" s="23">
        <f>IFERROR(__xludf.DUMMYFUNCTION("""COMPUTED_VALUE"""),44649.0)</f>
        <v>44649</v>
      </c>
      <c r="B89" s="21">
        <f>IFERROR(__xludf.DUMMYFUNCTION("""COMPUTED_VALUE"""),234.44545454545454)</f>
        <v>234.4454545</v>
      </c>
      <c r="C89" s="22">
        <f>IFERROR(__xludf.DUMMYFUNCTION("""COMPUTED_VALUE"""),161.70000000000002)</f>
        <v>161.7</v>
      </c>
      <c r="D89" s="22">
        <f>IFERROR(__xludf.DUMMYFUNCTION("""COMPUTED_VALUE"""),372.05)</f>
        <v>372.05</v>
      </c>
      <c r="E89" s="21">
        <f>IFERROR(__xludf.DUMMYFUNCTION("""COMPUTED_VALUE"""),246.07663690490105)</f>
        <v>246.0766369</v>
      </c>
      <c r="F89" s="21">
        <f>IFERROR(__xludf.DUMMYFUNCTION("""COMPUTED_VALUE"""),252.03785714285712)</f>
        <v>252.0378571</v>
      </c>
      <c r="G89" s="21">
        <f>IFERROR(__xludf.DUMMYFUNCTION("""COMPUTED_VALUE"""),303.956152450091)</f>
        <v>303.9561525</v>
      </c>
    </row>
    <row r="90">
      <c r="A90" s="23">
        <f>IFERROR(__xludf.DUMMYFUNCTION("""COMPUTED_VALUE"""),44650.0)</f>
        <v>44650</v>
      </c>
      <c r="B90" s="21">
        <f>IFERROR(__xludf.DUMMYFUNCTION("""COMPUTED_VALUE"""),234.44545454545454)</f>
        <v>234.4454545</v>
      </c>
      <c r="C90" s="22">
        <f>IFERROR(__xludf.DUMMYFUNCTION("""COMPUTED_VALUE"""),161.70000000000002)</f>
        <v>161.7</v>
      </c>
      <c r="D90" s="22">
        <f>IFERROR(__xludf.DUMMYFUNCTION("""COMPUTED_VALUE"""),372.05)</f>
        <v>372.05</v>
      </c>
      <c r="E90" s="21">
        <f>IFERROR(__xludf.DUMMYFUNCTION("""COMPUTED_VALUE"""),254.43073225195442)</f>
        <v>254.4307323</v>
      </c>
      <c r="F90" s="21">
        <f>IFERROR(__xludf.DUMMYFUNCTION("""COMPUTED_VALUE"""),248.88464285714284)</f>
        <v>248.8846429</v>
      </c>
      <c r="G90" s="21">
        <f>IFERROR(__xludf.DUMMYFUNCTION("""COMPUTED_VALUE"""),303.956152450091)</f>
        <v>303.9561525</v>
      </c>
    </row>
    <row r="91">
      <c r="A91" s="23">
        <f>IFERROR(__xludf.DUMMYFUNCTION("""COMPUTED_VALUE"""),44651.0)</f>
        <v>44651</v>
      </c>
      <c r="B91" s="21">
        <f>IFERROR(__xludf.DUMMYFUNCTION("""COMPUTED_VALUE"""),234.44545454545454)</f>
        <v>234.4454545</v>
      </c>
      <c r="C91" s="22">
        <f>IFERROR(__xludf.DUMMYFUNCTION("""COMPUTED_VALUE"""),161.70000000000002)</f>
        <v>161.7</v>
      </c>
      <c r="D91" s="22">
        <f>IFERROR(__xludf.DUMMYFUNCTION("""COMPUTED_VALUE"""),372.05)</f>
        <v>372.05</v>
      </c>
      <c r="E91" s="21">
        <f>IFERROR(__xludf.DUMMYFUNCTION("""COMPUTED_VALUE"""),259.8947129144657)</f>
        <v>259.8947129</v>
      </c>
      <c r="F91" s="21">
        <f>IFERROR(__xludf.DUMMYFUNCTION("""COMPUTED_VALUE"""),245.73142857142858)</f>
        <v>245.7314286</v>
      </c>
      <c r="G91" s="21">
        <f>IFERROR(__xludf.DUMMYFUNCTION("""COMPUTED_VALUE"""),303.956152450091)</f>
        <v>303.9561525</v>
      </c>
    </row>
    <row r="92">
      <c r="A92" s="20">
        <f>IFERROR(__xludf.DUMMYFUNCTION("""COMPUTED_VALUE"""),44652.0)</f>
        <v>44652</v>
      </c>
      <c r="B92" s="21">
        <f>IFERROR(__xludf.DUMMYFUNCTION("""COMPUTED_VALUE"""),234.44545454545454)</f>
        <v>234.4454545</v>
      </c>
      <c r="C92" s="22">
        <f>IFERROR(__xludf.DUMMYFUNCTION("""COMPUTED_VALUE"""),161.70000000000002)</f>
        <v>161.7</v>
      </c>
      <c r="D92" s="22">
        <f>IFERROR(__xludf.DUMMYFUNCTION("""COMPUTED_VALUE"""),372.05)</f>
        <v>372.05</v>
      </c>
      <c r="E92" s="21">
        <f>IFERROR(__xludf.DUMMYFUNCTION("""COMPUTED_VALUE"""),264.76536579886204)</f>
        <v>264.7653658</v>
      </c>
      <c r="F92" s="21">
        <f>IFERROR(__xludf.DUMMYFUNCTION("""COMPUTED_VALUE"""),242.5782142857143)</f>
        <v>242.5782143</v>
      </c>
      <c r="G92" s="21">
        <f>IFERROR(__xludf.DUMMYFUNCTION("""COMPUTED_VALUE"""),269.33230490018144)</f>
        <v>269.3323049</v>
      </c>
    </row>
    <row r="93">
      <c r="A93" s="20">
        <f>IFERROR(__xludf.DUMMYFUNCTION("""COMPUTED_VALUE"""),44653.0)</f>
        <v>44653</v>
      </c>
      <c r="B93" s="21">
        <f>IFERROR(__xludf.DUMMYFUNCTION("""COMPUTED_VALUE"""),234.44545454545454)</f>
        <v>234.4454545</v>
      </c>
      <c r="C93" s="22">
        <f>IFERROR(__xludf.DUMMYFUNCTION("""COMPUTED_VALUE"""),161.70000000000002)</f>
        <v>161.7</v>
      </c>
      <c r="D93" s="22">
        <f>IFERROR(__xludf.DUMMYFUNCTION("""COMPUTED_VALUE"""),372.05)</f>
        <v>372.05</v>
      </c>
      <c r="E93" s="21">
        <f>IFERROR(__xludf.DUMMYFUNCTION("""COMPUTED_VALUE"""),271.05000985637605)</f>
        <v>271.0500099</v>
      </c>
      <c r="F93" s="21">
        <f>IFERROR(__xludf.DUMMYFUNCTION("""COMPUTED_VALUE"""),239.425)</f>
        <v>239.425</v>
      </c>
      <c r="G93" s="21">
        <f>IFERROR(__xludf.DUMMYFUNCTION("""COMPUTED_VALUE"""),269.33230490018144)</f>
        <v>269.3323049</v>
      </c>
    </row>
    <row r="94">
      <c r="A94" s="20">
        <f>IFERROR(__xludf.DUMMYFUNCTION("""COMPUTED_VALUE"""),44654.0)</f>
        <v>44654</v>
      </c>
      <c r="B94" s="21">
        <f>IFERROR(__xludf.DUMMYFUNCTION("""COMPUTED_VALUE"""),234.44545454545454)</f>
        <v>234.4454545</v>
      </c>
      <c r="C94" s="22">
        <f>IFERROR(__xludf.DUMMYFUNCTION("""COMPUTED_VALUE"""),161.70000000000002)</f>
        <v>161.7</v>
      </c>
      <c r="D94" s="22">
        <f>IFERROR(__xludf.DUMMYFUNCTION("""COMPUTED_VALUE"""),372.05)</f>
        <v>372.05</v>
      </c>
      <c r="E94" s="21">
        <f>IFERROR(__xludf.DUMMYFUNCTION("""COMPUTED_VALUE"""),281.2789435313366)</f>
        <v>281.2789435</v>
      </c>
      <c r="F94" s="21">
        <f>IFERROR(__xludf.DUMMYFUNCTION("""COMPUTED_VALUE"""),236.27178571428573)</f>
        <v>236.2717857</v>
      </c>
      <c r="G94" s="21">
        <f>IFERROR(__xludf.DUMMYFUNCTION("""COMPUTED_VALUE"""),269.33230490018144)</f>
        <v>269.3323049</v>
      </c>
    </row>
    <row r="95">
      <c r="A95" s="20">
        <f>IFERROR(__xludf.DUMMYFUNCTION("""COMPUTED_VALUE"""),44655.0)</f>
        <v>44655</v>
      </c>
      <c r="B95" s="21">
        <f>IFERROR(__xludf.DUMMYFUNCTION("""COMPUTED_VALUE"""),245.92727272727268)</f>
        <v>245.9272727</v>
      </c>
      <c r="C95" s="22">
        <f>IFERROR(__xludf.DUMMYFUNCTION("""COMPUTED_VALUE"""),161.70000000000002)</f>
        <v>161.7</v>
      </c>
      <c r="D95" s="22">
        <f>IFERROR(__xludf.DUMMYFUNCTION("""COMPUTED_VALUE"""),384.5)</f>
        <v>384.5</v>
      </c>
      <c r="E95" s="21">
        <f>IFERROR(__xludf.DUMMYFUNCTION("""COMPUTED_VALUE"""),294.9150089346277)</f>
        <v>294.9150089</v>
      </c>
      <c r="F95" s="21">
        <f>IFERROR(__xludf.DUMMYFUNCTION("""COMPUTED_VALUE"""),235.57642857142858)</f>
        <v>235.5764286</v>
      </c>
      <c r="G95" s="21">
        <f>IFERROR(__xludf.DUMMYFUNCTION("""COMPUTED_VALUE"""),269.33230490018144)</f>
        <v>269.3323049</v>
      </c>
    </row>
    <row r="96">
      <c r="A96" s="20">
        <f>IFERROR(__xludf.DUMMYFUNCTION("""COMPUTED_VALUE"""),44656.0)</f>
        <v>44656</v>
      </c>
      <c r="B96" s="21">
        <f>IFERROR(__xludf.DUMMYFUNCTION("""COMPUTED_VALUE"""),245.92727272727268)</f>
        <v>245.9272727</v>
      </c>
      <c r="C96" s="22">
        <f>IFERROR(__xludf.DUMMYFUNCTION("""COMPUTED_VALUE"""),161.70000000000002)</f>
        <v>161.7</v>
      </c>
      <c r="D96" s="22">
        <f>IFERROR(__xludf.DUMMYFUNCTION("""COMPUTED_VALUE"""),384.5)</f>
        <v>384.5</v>
      </c>
      <c r="E96" s="21">
        <f>IFERROR(__xludf.DUMMYFUNCTION("""COMPUTED_VALUE"""),301.5227732560587)</f>
        <v>301.5227733</v>
      </c>
      <c r="F96" s="21">
        <f>IFERROR(__xludf.DUMMYFUNCTION("""COMPUTED_VALUE"""),234.88107142857146)</f>
        <v>234.8810714</v>
      </c>
      <c r="G96" s="21">
        <f>IFERROR(__xludf.DUMMYFUNCTION("""COMPUTED_VALUE"""),269.33230490018144)</f>
        <v>269.3323049</v>
      </c>
    </row>
    <row r="97">
      <c r="A97" s="20">
        <f>IFERROR(__xludf.DUMMYFUNCTION("""COMPUTED_VALUE"""),44657.0)</f>
        <v>44657</v>
      </c>
      <c r="B97" s="21">
        <f>IFERROR(__xludf.DUMMYFUNCTION("""COMPUTED_VALUE"""),245.92727272727268)</f>
        <v>245.9272727</v>
      </c>
      <c r="C97" s="22">
        <f>IFERROR(__xludf.DUMMYFUNCTION("""COMPUTED_VALUE"""),161.70000000000002)</f>
        <v>161.7</v>
      </c>
      <c r="D97" s="22">
        <f>IFERROR(__xludf.DUMMYFUNCTION("""COMPUTED_VALUE"""),384.5)</f>
        <v>384.5</v>
      </c>
      <c r="E97" s="21">
        <f>IFERROR(__xludf.DUMMYFUNCTION("""COMPUTED_VALUE"""),299.4430355687441)</f>
        <v>299.4430356</v>
      </c>
      <c r="F97" s="21">
        <f>IFERROR(__xludf.DUMMYFUNCTION("""COMPUTED_VALUE"""),237.1803571428572)</f>
        <v>237.1803571</v>
      </c>
      <c r="G97" s="21">
        <f>IFERROR(__xludf.DUMMYFUNCTION("""COMPUTED_VALUE"""),269.33230490018144)</f>
        <v>269.3323049</v>
      </c>
    </row>
    <row r="98">
      <c r="A98" s="20">
        <f>IFERROR(__xludf.DUMMYFUNCTION("""COMPUTED_VALUE"""),44658.0)</f>
        <v>44658</v>
      </c>
      <c r="B98" s="21">
        <f>IFERROR(__xludf.DUMMYFUNCTION("""COMPUTED_VALUE"""),245.92727272727268)</f>
        <v>245.9272727</v>
      </c>
      <c r="C98" s="22">
        <f>IFERROR(__xludf.DUMMYFUNCTION("""COMPUTED_VALUE"""),161.70000000000002)</f>
        <v>161.7</v>
      </c>
      <c r="D98" s="22">
        <f>IFERROR(__xludf.DUMMYFUNCTION("""COMPUTED_VALUE"""),384.5)</f>
        <v>384.5</v>
      </c>
      <c r="E98" s="21">
        <f>IFERROR(__xludf.DUMMYFUNCTION("""COMPUTED_VALUE"""),293.1165461294969)</f>
        <v>293.1165461</v>
      </c>
      <c r="F98" s="21">
        <f>IFERROR(__xludf.DUMMYFUNCTION("""COMPUTED_VALUE"""),239.4796428571429)</f>
        <v>239.4796429</v>
      </c>
      <c r="G98" s="21">
        <f>IFERROR(__xludf.DUMMYFUNCTION("""COMPUTED_VALUE"""),269.33230490018144)</f>
        <v>269.3323049</v>
      </c>
    </row>
    <row r="99">
      <c r="A99" s="20">
        <f>IFERROR(__xludf.DUMMYFUNCTION("""COMPUTED_VALUE"""),44659.0)</f>
        <v>44659</v>
      </c>
      <c r="B99" s="21">
        <f>IFERROR(__xludf.DUMMYFUNCTION("""COMPUTED_VALUE"""),245.92727272727268)</f>
        <v>245.9272727</v>
      </c>
      <c r="C99" s="22">
        <f>IFERROR(__xludf.DUMMYFUNCTION("""COMPUTED_VALUE"""),161.70000000000002)</f>
        <v>161.7</v>
      </c>
      <c r="D99" s="22">
        <f>IFERROR(__xludf.DUMMYFUNCTION("""COMPUTED_VALUE"""),384.5)</f>
        <v>384.5</v>
      </c>
      <c r="E99" s="21">
        <f>IFERROR(__xludf.DUMMYFUNCTION("""COMPUTED_VALUE"""),287.6356747454844)</f>
        <v>287.6356747</v>
      </c>
      <c r="F99" s="21">
        <f>IFERROR(__xludf.DUMMYFUNCTION("""COMPUTED_VALUE"""),241.77892857142862)</f>
        <v>241.7789286</v>
      </c>
      <c r="G99" s="21">
        <f>IFERROR(__xludf.DUMMYFUNCTION("""COMPUTED_VALUE"""),269.33230490018144)</f>
        <v>269.3323049</v>
      </c>
    </row>
    <row r="100">
      <c r="A100" s="20">
        <f>IFERROR(__xludf.DUMMYFUNCTION("""COMPUTED_VALUE"""),44660.0)</f>
        <v>44660</v>
      </c>
      <c r="B100" s="21">
        <f>IFERROR(__xludf.DUMMYFUNCTION("""COMPUTED_VALUE"""),245.92727272727268)</f>
        <v>245.9272727</v>
      </c>
      <c r="C100" s="22">
        <f>IFERROR(__xludf.DUMMYFUNCTION("""COMPUTED_VALUE"""),161.70000000000002)</f>
        <v>161.7</v>
      </c>
      <c r="D100" s="22">
        <f>IFERROR(__xludf.DUMMYFUNCTION("""COMPUTED_VALUE"""),384.5)</f>
        <v>384.5</v>
      </c>
      <c r="E100" s="21">
        <f>IFERROR(__xludf.DUMMYFUNCTION("""COMPUTED_VALUE"""),281.43256924022415)</f>
        <v>281.4325692</v>
      </c>
      <c r="F100" s="21">
        <f>IFERROR(__xludf.DUMMYFUNCTION("""COMPUTED_VALUE"""),244.0782142857143)</f>
        <v>244.0782143</v>
      </c>
      <c r="G100" s="21">
        <f>IFERROR(__xludf.DUMMYFUNCTION("""COMPUTED_VALUE"""),269.33230490018144)</f>
        <v>269.3323049</v>
      </c>
    </row>
    <row r="101">
      <c r="A101" s="20">
        <f>IFERROR(__xludf.DUMMYFUNCTION("""COMPUTED_VALUE"""),44661.0)</f>
        <v>44661</v>
      </c>
      <c r="B101" s="21">
        <f>IFERROR(__xludf.DUMMYFUNCTION("""COMPUTED_VALUE"""),245.92727272727268)</f>
        <v>245.9272727</v>
      </c>
      <c r="C101" s="22">
        <f>IFERROR(__xludf.DUMMYFUNCTION("""COMPUTED_VALUE"""),161.70000000000002)</f>
        <v>161.7</v>
      </c>
      <c r="D101" s="22">
        <f>IFERROR(__xludf.DUMMYFUNCTION("""COMPUTED_VALUE"""),384.5)</f>
        <v>384.5</v>
      </c>
      <c r="E101" s="21">
        <f>IFERROR(__xludf.DUMMYFUNCTION("""COMPUTED_VALUE"""),269.37405130976356)</f>
        <v>269.3740513</v>
      </c>
      <c r="F101" s="21">
        <f>IFERROR(__xludf.DUMMYFUNCTION("""COMPUTED_VALUE"""),246.37750000000003)</f>
        <v>246.3775</v>
      </c>
      <c r="G101" s="21">
        <f>IFERROR(__xludf.DUMMYFUNCTION("""COMPUTED_VALUE"""),269.33230490018144)</f>
        <v>269.3323049</v>
      </c>
    </row>
    <row r="102">
      <c r="A102" s="20">
        <f>IFERROR(__xludf.DUMMYFUNCTION("""COMPUTED_VALUE"""),44662.0)</f>
        <v>44662</v>
      </c>
      <c r="B102" s="21">
        <f>IFERROR(__xludf.DUMMYFUNCTION("""COMPUTED_VALUE"""),243.4619047619048)</f>
        <v>243.4619048</v>
      </c>
      <c r="C102" s="22">
        <f>IFERROR(__xludf.DUMMYFUNCTION("""COMPUTED_VALUE"""),161.70000000000002)</f>
        <v>161.7</v>
      </c>
      <c r="D102" s="22">
        <f>IFERROR(__xludf.DUMMYFUNCTION("""COMPUTED_VALUE"""),377.70000000000005)</f>
        <v>377.7</v>
      </c>
      <c r="E102" s="21">
        <f>IFERROR(__xludf.DUMMYFUNCTION("""COMPUTED_VALUE"""),253.40120346016087)</f>
        <v>253.4012035</v>
      </c>
      <c r="F102" s="21">
        <f>IFERROR(__xludf.DUMMYFUNCTION("""COMPUTED_VALUE"""),245.87535714285715)</f>
        <v>245.8753571</v>
      </c>
      <c r="G102" s="21">
        <f>IFERROR(__xludf.DUMMYFUNCTION("""COMPUTED_VALUE"""),269.33230490018144)</f>
        <v>269.3323049</v>
      </c>
    </row>
    <row r="103">
      <c r="A103" s="20">
        <f>IFERROR(__xludf.DUMMYFUNCTION("""COMPUTED_VALUE"""),44663.0)</f>
        <v>44663</v>
      </c>
      <c r="B103" s="21">
        <f>IFERROR(__xludf.DUMMYFUNCTION("""COMPUTED_VALUE"""),243.4619047619048)</f>
        <v>243.4619048</v>
      </c>
      <c r="C103" s="22">
        <f>IFERROR(__xludf.DUMMYFUNCTION("""COMPUTED_VALUE"""),161.70000000000002)</f>
        <v>161.7</v>
      </c>
      <c r="D103" s="22">
        <f>IFERROR(__xludf.DUMMYFUNCTION("""COMPUTED_VALUE"""),377.70000000000005)</f>
        <v>377.7</v>
      </c>
      <c r="E103" s="21">
        <f>IFERROR(__xludf.DUMMYFUNCTION("""COMPUTED_VALUE"""),234.1379539762783)</f>
        <v>234.137954</v>
      </c>
      <c r="F103" s="21">
        <f>IFERROR(__xludf.DUMMYFUNCTION("""COMPUTED_VALUE"""),245.37321428571428)</f>
        <v>245.3732143</v>
      </c>
      <c r="G103" s="21">
        <f>IFERROR(__xludf.DUMMYFUNCTION("""COMPUTED_VALUE"""),269.33230490018144)</f>
        <v>269.3323049</v>
      </c>
    </row>
    <row r="104">
      <c r="A104" s="20">
        <f>IFERROR(__xludf.DUMMYFUNCTION("""COMPUTED_VALUE"""),44664.0)</f>
        <v>44664</v>
      </c>
      <c r="B104" s="21">
        <f>IFERROR(__xludf.DUMMYFUNCTION("""COMPUTED_VALUE"""),243.4619047619048)</f>
        <v>243.4619048</v>
      </c>
      <c r="C104" s="22">
        <f>IFERROR(__xludf.DUMMYFUNCTION("""COMPUTED_VALUE"""),161.70000000000002)</f>
        <v>161.7</v>
      </c>
      <c r="D104" s="22">
        <f>IFERROR(__xludf.DUMMYFUNCTION("""COMPUTED_VALUE"""),377.70000000000005)</f>
        <v>377.7</v>
      </c>
      <c r="E104" s="21">
        <f>IFERROR(__xludf.DUMMYFUNCTION("""COMPUTED_VALUE"""),228.67712377622442)</f>
        <v>228.6771238</v>
      </c>
      <c r="F104" s="21">
        <f>IFERROR(__xludf.DUMMYFUNCTION("""COMPUTED_VALUE"""),244.8710714285714)</f>
        <v>244.8710714</v>
      </c>
      <c r="G104" s="21">
        <f>IFERROR(__xludf.DUMMYFUNCTION("""COMPUTED_VALUE"""),269.33230490018144)</f>
        <v>269.3323049</v>
      </c>
    </row>
    <row r="105">
      <c r="A105" s="23">
        <f>IFERROR(__xludf.DUMMYFUNCTION("""COMPUTED_VALUE"""),44665.0)</f>
        <v>44665</v>
      </c>
      <c r="B105" s="21">
        <f>IFERROR(__xludf.DUMMYFUNCTION("""COMPUTED_VALUE"""),243.4619047619048)</f>
        <v>243.4619048</v>
      </c>
      <c r="C105" s="22">
        <f>IFERROR(__xludf.DUMMYFUNCTION("""COMPUTED_VALUE"""),161.70000000000002)</f>
        <v>161.7</v>
      </c>
      <c r="D105" s="22">
        <f>IFERROR(__xludf.DUMMYFUNCTION("""COMPUTED_VALUE"""),377.70000000000005)</f>
        <v>377.7</v>
      </c>
      <c r="E105" s="21">
        <f>IFERROR(__xludf.DUMMYFUNCTION("""COMPUTED_VALUE"""),229.14179006381508)</f>
        <v>229.1417901</v>
      </c>
      <c r="F105" s="21">
        <f>IFERROR(__xludf.DUMMYFUNCTION("""COMPUTED_VALUE"""),244.36892857142854)</f>
        <v>244.3689286</v>
      </c>
      <c r="G105" s="21">
        <f>IFERROR(__xludf.DUMMYFUNCTION("""COMPUTED_VALUE"""),269.33230490018144)</f>
        <v>269.3323049</v>
      </c>
    </row>
    <row r="106">
      <c r="A106" s="23">
        <f>IFERROR(__xludf.DUMMYFUNCTION("""COMPUTED_VALUE"""),44666.0)</f>
        <v>44666</v>
      </c>
      <c r="B106" s="21">
        <f>IFERROR(__xludf.DUMMYFUNCTION("""COMPUTED_VALUE"""),243.4619047619048)</f>
        <v>243.4619048</v>
      </c>
      <c r="C106" s="22">
        <f>IFERROR(__xludf.DUMMYFUNCTION("""COMPUTED_VALUE"""),161.70000000000002)</f>
        <v>161.7</v>
      </c>
      <c r="D106" s="22">
        <f>IFERROR(__xludf.DUMMYFUNCTION("""COMPUTED_VALUE"""),377.70000000000005)</f>
        <v>377.7</v>
      </c>
      <c r="E106" s="21">
        <f>IFERROR(__xludf.DUMMYFUNCTION("""COMPUTED_VALUE"""),225.32416590864082)</f>
        <v>225.3241659</v>
      </c>
      <c r="F106" s="21">
        <f>IFERROR(__xludf.DUMMYFUNCTION("""COMPUTED_VALUE"""),243.8667857142857)</f>
        <v>243.8667857</v>
      </c>
      <c r="G106" s="21">
        <f>IFERROR(__xludf.DUMMYFUNCTION("""COMPUTED_VALUE"""),269.33230490018144)</f>
        <v>269.3323049</v>
      </c>
    </row>
    <row r="107">
      <c r="A107" s="23">
        <f>IFERROR(__xludf.DUMMYFUNCTION("""COMPUTED_VALUE"""),44667.0)</f>
        <v>44667</v>
      </c>
      <c r="B107" s="21">
        <f>IFERROR(__xludf.DUMMYFUNCTION("""COMPUTED_VALUE"""),243.4619047619048)</f>
        <v>243.4619048</v>
      </c>
      <c r="C107" s="22">
        <f>IFERROR(__xludf.DUMMYFUNCTION("""COMPUTED_VALUE"""),161.70000000000002)</f>
        <v>161.7</v>
      </c>
      <c r="D107" s="22">
        <f>IFERROR(__xludf.DUMMYFUNCTION("""COMPUTED_VALUE"""),377.70000000000005)</f>
        <v>377.7</v>
      </c>
      <c r="E107" s="21">
        <f>IFERROR(__xludf.DUMMYFUNCTION("""COMPUTED_VALUE"""),219.3322974315715)</f>
        <v>219.3322974</v>
      </c>
      <c r="F107" s="21">
        <f>IFERROR(__xludf.DUMMYFUNCTION("""COMPUTED_VALUE"""),243.36464285714283)</f>
        <v>243.3646429</v>
      </c>
      <c r="G107" s="21">
        <f>IFERROR(__xludf.DUMMYFUNCTION("""COMPUTED_VALUE"""),269.33230490018144)</f>
        <v>269.3323049</v>
      </c>
    </row>
    <row r="108">
      <c r="A108" s="23">
        <f>IFERROR(__xludf.DUMMYFUNCTION("""COMPUTED_VALUE"""),44668.0)</f>
        <v>44668</v>
      </c>
      <c r="B108" s="21">
        <f>IFERROR(__xludf.DUMMYFUNCTION("""COMPUTED_VALUE"""),243.4619047619048)</f>
        <v>243.4619048</v>
      </c>
      <c r="C108" s="22">
        <f>IFERROR(__xludf.DUMMYFUNCTION("""COMPUTED_VALUE"""),161.70000000000002)</f>
        <v>161.7</v>
      </c>
      <c r="D108" s="22">
        <f>IFERROR(__xludf.DUMMYFUNCTION("""COMPUTED_VALUE"""),377.70000000000005)</f>
        <v>377.7</v>
      </c>
      <c r="E108" s="21">
        <f>IFERROR(__xludf.DUMMYFUNCTION("""COMPUTED_VALUE"""),216.13871418039707)</f>
        <v>216.1387142</v>
      </c>
      <c r="F108" s="21">
        <f>IFERROR(__xludf.DUMMYFUNCTION("""COMPUTED_VALUE"""),242.86249999999998)</f>
        <v>242.8625</v>
      </c>
      <c r="G108" s="21">
        <f>IFERROR(__xludf.DUMMYFUNCTION("""COMPUTED_VALUE"""),269.33230490018144)</f>
        <v>269.3323049</v>
      </c>
    </row>
    <row r="109">
      <c r="A109" s="23">
        <f>IFERROR(__xludf.DUMMYFUNCTION("""COMPUTED_VALUE"""),44669.0)</f>
        <v>44669</v>
      </c>
      <c r="B109" s="21">
        <f>IFERROR(__xludf.DUMMYFUNCTION("""COMPUTED_VALUE"""),246.77111111111114)</f>
        <v>246.7711111</v>
      </c>
      <c r="C109" s="22">
        <f>IFERROR(__xludf.DUMMYFUNCTION("""COMPUTED_VALUE"""),175.3)</f>
        <v>175.3</v>
      </c>
      <c r="D109" s="22">
        <f>IFERROR(__xludf.DUMMYFUNCTION("""COMPUTED_VALUE"""),377.70000000000005)</f>
        <v>377.7</v>
      </c>
      <c r="E109" s="21">
        <f>IFERROR(__xludf.DUMMYFUNCTION("""COMPUTED_VALUE"""),207.1154213960431)</f>
        <v>207.1154214</v>
      </c>
      <c r="F109" s="21">
        <f>IFERROR(__xludf.DUMMYFUNCTION("""COMPUTED_VALUE"""),242.86249999999998)</f>
        <v>242.8625</v>
      </c>
      <c r="G109" s="21">
        <f>IFERROR(__xludf.DUMMYFUNCTION("""COMPUTED_VALUE"""),269.33230490018144)</f>
        <v>269.3323049</v>
      </c>
    </row>
    <row r="110">
      <c r="A110" s="23">
        <f>IFERROR(__xludf.DUMMYFUNCTION("""COMPUTED_VALUE"""),44670.0)</f>
        <v>44670</v>
      </c>
      <c r="B110" s="21">
        <f>IFERROR(__xludf.DUMMYFUNCTION("""COMPUTED_VALUE"""),246.77111111111114)</f>
        <v>246.7711111</v>
      </c>
      <c r="C110" s="22">
        <f>IFERROR(__xludf.DUMMYFUNCTION("""COMPUTED_VALUE"""),175.3)</f>
        <v>175.3</v>
      </c>
      <c r="D110" s="22">
        <f>IFERROR(__xludf.DUMMYFUNCTION("""COMPUTED_VALUE"""),377.70000000000005)</f>
        <v>377.7</v>
      </c>
      <c r="E110" s="21">
        <f>IFERROR(__xludf.DUMMYFUNCTION("""COMPUTED_VALUE"""),217.51565909989563)</f>
        <v>217.5156591</v>
      </c>
      <c r="F110" s="21">
        <f>IFERROR(__xludf.DUMMYFUNCTION("""COMPUTED_VALUE"""),241.7135714285714)</f>
        <v>241.7135714</v>
      </c>
      <c r="G110" s="21">
        <f>IFERROR(__xludf.DUMMYFUNCTION("""COMPUTED_VALUE"""),269.33230490018144)</f>
        <v>269.3323049</v>
      </c>
    </row>
    <row r="111">
      <c r="A111" s="23">
        <f>IFERROR(__xludf.DUMMYFUNCTION("""COMPUTED_VALUE"""),44671.0)</f>
        <v>44671</v>
      </c>
      <c r="B111" s="21">
        <f>IFERROR(__xludf.DUMMYFUNCTION("""COMPUTED_VALUE"""),246.77111111111114)</f>
        <v>246.7711111</v>
      </c>
      <c r="C111" s="22">
        <f>IFERROR(__xludf.DUMMYFUNCTION("""COMPUTED_VALUE"""),175.3)</f>
        <v>175.3</v>
      </c>
      <c r="D111" s="22">
        <f>IFERROR(__xludf.DUMMYFUNCTION("""COMPUTED_VALUE"""),377.70000000000005)</f>
        <v>377.7</v>
      </c>
      <c r="E111" s="21">
        <f>IFERROR(__xludf.DUMMYFUNCTION("""COMPUTED_VALUE"""),216.84730885642787)</f>
        <v>216.8473089</v>
      </c>
      <c r="F111" s="21">
        <f>IFERROR(__xludf.DUMMYFUNCTION("""COMPUTED_VALUE"""),240.56464285714284)</f>
        <v>240.5646429</v>
      </c>
      <c r="G111" s="21">
        <f>IFERROR(__xludf.DUMMYFUNCTION("""COMPUTED_VALUE"""),269.33230490018144)</f>
        <v>269.3323049</v>
      </c>
    </row>
    <row r="112">
      <c r="A112" s="23">
        <f>IFERROR(__xludf.DUMMYFUNCTION("""COMPUTED_VALUE"""),44672.0)</f>
        <v>44672</v>
      </c>
      <c r="B112" s="21">
        <f>IFERROR(__xludf.DUMMYFUNCTION("""COMPUTED_VALUE"""),246.77111111111114)</f>
        <v>246.7711111</v>
      </c>
      <c r="C112" s="22">
        <f>IFERROR(__xludf.DUMMYFUNCTION("""COMPUTED_VALUE"""),175.3)</f>
        <v>175.3</v>
      </c>
      <c r="D112" s="22">
        <f>IFERROR(__xludf.DUMMYFUNCTION("""COMPUTED_VALUE"""),377.70000000000005)</f>
        <v>377.7</v>
      </c>
      <c r="E112" s="21">
        <f>IFERROR(__xludf.DUMMYFUNCTION("""COMPUTED_VALUE"""),217.26218429796378)</f>
        <v>217.2621843</v>
      </c>
      <c r="F112" s="21">
        <f>IFERROR(__xludf.DUMMYFUNCTION("""COMPUTED_VALUE"""),239.41571428571427)</f>
        <v>239.4157143</v>
      </c>
      <c r="G112" s="21">
        <f>IFERROR(__xludf.DUMMYFUNCTION("""COMPUTED_VALUE"""),269.33230490018144)</f>
        <v>269.3323049</v>
      </c>
    </row>
    <row r="113">
      <c r="A113" s="23">
        <f>IFERROR(__xludf.DUMMYFUNCTION("""COMPUTED_VALUE"""),44673.0)</f>
        <v>44673</v>
      </c>
      <c r="B113" s="21">
        <f>IFERROR(__xludf.DUMMYFUNCTION("""COMPUTED_VALUE"""),246.77111111111114)</f>
        <v>246.7711111</v>
      </c>
      <c r="C113" s="22">
        <f>IFERROR(__xludf.DUMMYFUNCTION("""COMPUTED_VALUE"""),175.3)</f>
        <v>175.3</v>
      </c>
      <c r="D113" s="22">
        <f>IFERROR(__xludf.DUMMYFUNCTION("""COMPUTED_VALUE"""),377.70000000000005)</f>
        <v>377.7</v>
      </c>
      <c r="E113" s="21">
        <f>IFERROR(__xludf.DUMMYFUNCTION("""COMPUTED_VALUE"""),215.39163423677195)</f>
        <v>215.3916342</v>
      </c>
      <c r="F113" s="21">
        <f>IFERROR(__xludf.DUMMYFUNCTION("""COMPUTED_VALUE"""),238.2667857142857)</f>
        <v>238.2667857</v>
      </c>
      <c r="G113" s="21">
        <f>IFERROR(__xludf.DUMMYFUNCTION("""COMPUTED_VALUE"""),269.33230490018144)</f>
        <v>269.3323049</v>
      </c>
    </row>
    <row r="114">
      <c r="A114" s="23">
        <f>IFERROR(__xludf.DUMMYFUNCTION("""COMPUTED_VALUE"""),44674.0)</f>
        <v>44674</v>
      </c>
      <c r="B114" s="21">
        <f>IFERROR(__xludf.DUMMYFUNCTION("""COMPUTED_VALUE"""),246.77111111111114)</f>
        <v>246.7711111</v>
      </c>
      <c r="C114" s="22">
        <f>IFERROR(__xludf.DUMMYFUNCTION("""COMPUTED_VALUE"""),175.3)</f>
        <v>175.3</v>
      </c>
      <c r="D114" s="22">
        <f>IFERROR(__xludf.DUMMYFUNCTION("""COMPUTED_VALUE"""),377.70000000000005)</f>
        <v>377.7</v>
      </c>
      <c r="E114" s="21">
        <f>IFERROR(__xludf.DUMMYFUNCTION("""COMPUTED_VALUE"""),224.69999473225002)</f>
        <v>224.6999947</v>
      </c>
      <c r="F114" s="21">
        <f>IFERROR(__xludf.DUMMYFUNCTION("""COMPUTED_VALUE"""),237.1178571428571)</f>
        <v>237.1178571</v>
      </c>
      <c r="G114" s="21">
        <f>IFERROR(__xludf.DUMMYFUNCTION("""COMPUTED_VALUE"""),269.33230490018144)</f>
        <v>269.3323049</v>
      </c>
    </row>
    <row r="115">
      <c r="A115" s="23">
        <f>IFERROR(__xludf.DUMMYFUNCTION("""COMPUTED_VALUE"""),44675.0)</f>
        <v>44675</v>
      </c>
      <c r="B115" s="21">
        <f>IFERROR(__xludf.DUMMYFUNCTION("""COMPUTED_VALUE"""),246.77111111111114)</f>
        <v>246.7711111</v>
      </c>
      <c r="C115" s="22">
        <f>IFERROR(__xludf.DUMMYFUNCTION("""COMPUTED_VALUE"""),175.3)</f>
        <v>175.3</v>
      </c>
      <c r="D115" s="22">
        <f>IFERROR(__xludf.DUMMYFUNCTION("""COMPUTED_VALUE"""),377.70000000000005)</f>
        <v>377.7</v>
      </c>
      <c r="E115" s="21">
        <f>IFERROR(__xludf.DUMMYFUNCTION("""COMPUTED_VALUE"""),229.4729565672499)</f>
        <v>229.4729566</v>
      </c>
      <c r="F115" s="21">
        <f>IFERROR(__xludf.DUMMYFUNCTION("""COMPUTED_VALUE"""),235.96892857142853)</f>
        <v>235.9689286</v>
      </c>
      <c r="G115" s="21">
        <f>IFERROR(__xludf.DUMMYFUNCTION("""COMPUTED_VALUE"""),269.33230490018144)</f>
        <v>269.3323049</v>
      </c>
    </row>
    <row r="116">
      <c r="A116" s="23">
        <f>IFERROR(__xludf.DUMMYFUNCTION("""COMPUTED_VALUE"""),44676.0)</f>
        <v>44676</v>
      </c>
      <c r="B116" s="21">
        <f>IFERROR(__xludf.DUMMYFUNCTION("""COMPUTED_VALUE"""),252.60416666666669)</f>
        <v>252.6041667</v>
      </c>
      <c r="C116" s="22">
        <f>IFERROR(__xludf.DUMMYFUNCTION("""COMPUTED_VALUE"""),200.96666666666667)</f>
        <v>200.9666667</v>
      </c>
      <c r="D116" s="22">
        <f>IFERROR(__xludf.DUMMYFUNCTION("""COMPUTED_VALUE"""),365.45)</f>
        <v>365.45</v>
      </c>
      <c r="E116" s="21">
        <f>IFERROR(__xludf.DUMMYFUNCTION("""COMPUTED_VALUE"""),241.60119467827732)</f>
        <v>241.6011947</v>
      </c>
      <c r="F116" s="21">
        <f>IFERROR(__xludf.DUMMYFUNCTION("""COMPUTED_VALUE"""),234.81999999999996)</f>
        <v>234.82</v>
      </c>
      <c r="G116" s="21">
        <f>IFERROR(__xludf.DUMMYFUNCTION("""COMPUTED_VALUE"""),269.33230490018144)</f>
        <v>269.3323049</v>
      </c>
    </row>
    <row r="117">
      <c r="A117" s="23">
        <f>IFERROR(__xludf.DUMMYFUNCTION("""COMPUTED_VALUE"""),44677.0)</f>
        <v>44677</v>
      </c>
      <c r="B117" s="21">
        <f>IFERROR(__xludf.DUMMYFUNCTION("""COMPUTED_VALUE"""),252.60416666666669)</f>
        <v>252.6041667</v>
      </c>
      <c r="C117" s="22">
        <f>IFERROR(__xludf.DUMMYFUNCTION("""COMPUTED_VALUE"""),200.96666666666667)</f>
        <v>200.9666667</v>
      </c>
      <c r="D117" s="22">
        <f>IFERROR(__xludf.DUMMYFUNCTION("""COMPUTED_VALUE"""),365.45)</f>
        <v>365.45</v>
      </c>
      <c r="E117" s="21">
        <f>IFERROR(__xludf.DUMMYFUNCTION("""COMPUTED_VALUE"""),244.08776176522593)</f>
        <v>244.0877618</v>
      </c>
      <c r="F117" s="21">
        <f>IFERROR(__xludf.DUMMYFUNCTION("""COMPUTED_VALUE"""),234.81999999999996)</f>
        <v>234.82</v>
      </c>
      <c r="G117" s="21">
        <f>IFERROR(__xludf.DUMMYFUNCTION("""COMPUTED_VALUE"""),269.33230490018144)</f>
        <v>269.3323049</v>
      </c>
    </row>
    <row r="118">
      <c r="A118" s="23">
        <f>IFERROR(__xludf.DUMMYFUNCTION("""COMPUTED_VALUE"""),44678.0)</f>
        <v>44678</v>
      </c>
      <c r="B118" s="21">
        <f>IFERROR(__xludf.DUMMYFUNCTION("""COMPUTED_VALUE"""),252.60416666666669)</f>
        <v>252.6041667</v>
      </c>
      <c r="C118" s="22">
        <f>IFERROR(__xludf.DUMMYFUNCTION("""COMPUTED_VALUE"""),200.96666666666667)</f>
        <v>200.9666667</v>
      </c>
      <c r="D118" s="22">
        <f>IFERROR(__xludf.DUMMYFUNCTION("""COMPUTED_VALUE"""),365.45)</f>
        <v>365.45</v>
      </c>
      <c r="E118" s="21">
        <f>IFERROR(__xludf.DUMMYFUNCTION("""COMPUTED_VALUE"""),243.80712546851217)</f>
        <v>243.8071255</v>
      </c>
      <c r="F118" s="21">
        <f>IFERROR(__xludf.DUMMYFUNCTION("""COMPUTED_VALUE"""),234.81999999999996)</f>
        <v>234.82</v>
      </c>
      <c r="G118" s="21">
        <f>IFERROR(__xludf.DUMMYFUNCTION("""COMPUTED_VALUE"""),269.33230490018144)</f>
        <v>269.3323049</v>
      </c>
    </row>
    <row r="119">
      <c r="A119" s="23">
        <f>IFERROR(__xludf.DUMMYFUNCTION("""COMPUTED_VALUE"""),44679.0)</f>
        <v>44679</v>
      </c>
      <c r="B119" s="21">
        <f>IFERROR(__xludf.DUMMYFUNCTION("""COMPUTED_VALUE"""),252.60416666666669)</f>
        <v>252.6041667</v>
      </c>
      <c r="C119" s="22">
        <f>IFERROR(__xludf.DUMMYFUNCTION("""COMPUTED_VALUE"""),200.96666666666667)</f>
        <v>200.9666667</v>
      </c>
      <c r="D119" s="22">
        <f>IFERROR(__xludf.DUMMYFUNCTION("""COMPUTED_VALUE"""),365.45)</f>
        <v>365.45</v>
      </c>
      <c r="E119" s="21">
        <f>IFERROR(__xludf.DUMMYFUNCTION("""COMPUTED_VALUE"""),243.27201911858108)</f>
        <v>243.2720191</v>
      </c>
      <c r="F119" s="21">
        <f>IFERROR(__xludf.DUMMYFUNCTION("""COMPUTED_VALUE"""),234.81999999999996)</f>
        <v>234.82</v>
      </c>
      <c r="G119" s="21">
        <f>IFERROR(__xludf.DUMMYFUNCTION("""COMPUTED_VALUE"""),269.33230490018144)</f>
        <v>269.3323049</v>
      </c>
    </row>
    <row r="120">
      <c r="A120" s="23">
        <f>IFERROR(__xludf.DUMMYFUNCTION("""COMPUTED_VALUE"""),44680.0)</f>
        <v>44680</v>
      </c>
      <c r="B120" s="21">
        <f>IFERROR(__xludf.DUMMYFUNCTION("""COMPUTED_VALUE"""),252.60416666666669)</f>
        <v>252.6041667</v>
      </c>
      <c r="C120" s="22">
        <f>IFERROR(__xludf.DUMMYFUNCTION("""COMPUTED_VALUE"""),200.96666666666667)</f>
        <v>200.9666667</v>
      </c>
      <c r="D120" s="22">
        <f>IFERROR(__xludf.DUMMYFUNCTION("""COMPUTED_VALUE"""),365.45)</f>
        <v>365.45</v>
      </c>
      <c r="E120" s="21">
        <f>IFERROR(__xludf.DUMMYFUNCTION("""COMPUTED_VALUE"""),244.99022181957437)</f>
        <v>244.9902218</v>
      </c>
      <c r="F120" s="21">
        <f>IFERROR(__xludf.DUMMYFUNCTION("""COMPUTED_VALUE"""),234.81999999999996)</f>
        <v>234.82</v>
      </c>
      <c r="G120" s="21">
        <f>IFERROR(__xludf.DUMMYFUNCTION("""COMPUTED_VALUE"""),269.33230490018144)</f>
        <v>269.3323049</v>
      </c>
    </row>
    <row r="121">
      <c r="A121" s="23">
        <f>IFERROR(__xludf.DUMMYFUNCTION("""COMPUTED_VALUE"""),44681.0)</f>
        <v>44681</v>
      </c>
      <c r="B121" s="21">
        <f>IFERROR(__xludf.DUMMYFUNCTION("""COMPUTED_VALUE"""),252.60416666666669)</f>
        <v>252.6041667</v>
      </c>
      <c r="C121" s="22">
        <f>IFERROR(__xludf.DUMMYFUNCTION("""COMPUTED_VALUE"""),200.96666666666667)</f>
        <v>200.9666667</v>
      </c>
      <c r="D121" s="22">
        <f>IFERROR(__xludf.DUMMYFUNCTION("""COMPUTED_VALUE"""),365.45)</f>
        <v>365.45</v>
      </c>
      <c r="E121" s="21">
        <f>IFERROR(__xludf.DUMMYFUNCTION("""COMPUTED_VALUE"""),238.13857714557025)</f>
        <v>238.1385771</v>
      </c>
      <c r="F121" s="21">
        <f>IFERROR(__xludf.DUMMYFUNCTION("""COMPUTED_VALUE"""),234.81999999999996)</f>
        <v>234.82</v>
      </c>
      <c r="G121" s="21">
        <f>IFERROR(__xludf.DUMMYFUNCTION("""COMPUTED_VALUE"""),269.33230490018144)</f>
        <v>269.3323049</v>
      </c>
    </row>
    <row r="122">
      <c r="A122" s="23">
        <f>IFERROR(__xludf.DUMMYFUNCTION("""COMPUTED_VALUE"""),44682.0)</f>
        <v>44682</v>
      </c>
      <c r="B122" s="21">
        <f>IFERROR(__xludf.DUMMYFUNCTION("""COMPUTED_VALUE"""),252.60416666666669)</f>
        <v>252.6041667</v>
      </c>
      <c r="C122" s="22">
        <f>IFERROR(__xludf.DUMMYFUNCTION("""COMPUTED_VALUE"""),200.96666666666667)</f>
        <v>200.9666667</v>
      </c>
      <c r="D122" s="22">
        <f>IFERROR(__xludf.DUMMYFUNCTION("""COMPUTED_VALUE"""),365.45)</f>
        <v>365.45</v>
      </c>
      <c r="E122" s="21">
        <f>IFERROR(__xludf.DUMMYFUNCTION("""COMPUTED_VALUE"""),238.5249582125013)</f>
        <v>238.5249582</v>
      </c>
      <c r="F122" s="21">
        <f>IFERROR(__xludf.DUMMYFUNCTION("""COMPUTED_VALUE"""),234.81999999999996)</f>
        <v>234.82</v>
      </c>
      <c r="G122" s="21">
        <f>IFERROR(__xludf.DUMMYFUNCTION("""COMPUTED_VALUE"""),269.33230490018144)</f>
        <v>269.3323049</v>
      </c>
    </row>
    <row r="123">
      <c r="A123" s="20">
        <f>IFERROR(__xludf.DUMMYFUNCTION("""COMPUTED_VALUE"""),44683.0)</f>
        <v>44683</v>
      </c>
      <c r="B123" s="21">
        <f>IFERROR(__xludf.DUMMYFUNCTION("""COMPUTED_VALUE"""),250.79215686274514)</f>
        <v>250.7921569</v>
      </c>
      <c r="C123" s="22">
        <f>IFERROR(__xludf.DUMMYFUNCTION("""COMPUTED_VALUE"""),200.61666666666667)</f>
        <v>200.6166667</v>
      </c>
      <c r="D123" s="22">
        <f>IFERROR(__xludf.DUMMYFUNCTION("""COMPUTED_VALUE"""),365.45)</f>
        <v>365.45</v>
      </c>
      <c r="E123" s="21">
        <f>IFERROR(__xludf.DUMMYFUNCTION("""COMPUTED_VALUE"""),234.10932207688413)</f>
        <v>234.1093221</v>
      </c>
      <c r="F123" s="21">
        <f>IFERROR(__xludf.DUMMYFUNCTION("""COMPUTED_VALUE"""),235.58071428571427)</f>
        <v>235.5807143</v>
      </c>
      <c r="G123" s="21">
        <f>IFERROR(__xludf.DUMMYFUNCTION("""COMPUTED_VALUE"""),269.33230490018144)</f>
        <v>269.3323049</v>
      </c>
    </row>
    <row r="124">
      <c r="A124" s="20">
        <f>IFERROR(__xludf.DUMMYFUNCTION("""COMPUTED_VALUE"""),44684.0)</f>
        <v>44684</v>
      </c>
      <c r="B124" s="21">
        <f>IFERROR(__xludf.DUMMYFUNCTION("""COMPUTED_VALUE"""),250.79215686274514)</f>
        <v>250.7921569</v>
      </c>
      <c r="C124" s="22">
        <f>IFERROR(__xludf.DUMMYFUNCTION("""COMPUTED_VALUE"""),200.61666666666667)</f>
        <v>200.6166667</v>
      </c>
      <c r="D124" s="22">
        <f>IFERROR(__xludf.DUMMYFUNCTION("""COMPUTED_VALUE"""),365.45)</f>
        <v>365.45</v>
      </c>
      <c r="E124" s="21">
        <f>IFERROR(__xludf.DUMMYFUNCTION("""COMPUTED_VALUE"""),234.72503774493265)</f>
        <v>234.7250377</v>
      </c>
      <c r="F124" s="21">
        <f>IFERROR(__xludf.DUMMYFUNCTION("""COMPUTED_VALUE"""),236.34142857142857)</f>
        <v>236.3414286</v>
      </c>
      <c r="G124" s="21">
        <f>IFERROR(__xludf.DUMMYFUNCTION("""COMPUTED_VALUE"""),269.33230490018144)</f>
        <v>269.3323049</v>
      </c>
    </row>
    <row r="125">
      <c r="A125" s="20">
        <f>IFERROR(__xludf.DUMMYFUNCTION("""COMPUTED_VALUE"""),44685.0)</f>
        <v>44685</v>
      </c>
      <c r="B125" s="21">
        <f>IFERROR(__xludf.DUMMYFUNCTION("""COMPUTED_VALUE"""),250.79215686274514)</f>
        <v>250.7921569</v>
      </c>
      <c r="C125" s="22">
        <f>IFERROR(__xludf.DUMMYFUNCTION("""COMPUTED_VALUE"""),200.61666666666667)</f>
        <v>200.6166667</v>
      </c>
      <c r="D125" s="22">
        <f>IFERROR(__xludf.DUMMYFUNCTION("""COMPUTED_VALUE"""),365.45)</f>
        <v>365.45</v>
      </c>
      <c r="E125" s="21">
        <f>IFERROR(__xludf.DUMMYFUNCTION("""COMPUTED_VALUE"""),236.08734183994488)</f>
        <v>236.0873418</v>
      </c>
      <c r="F125" s="21">
        <f>IFERROR(__xludf.DUMMYFUNCTION("""COMPUTED_VALUE"""),237.10214285714284)</f>
        <v>237.1021429</v>
      </c>
      <c r="G125" s="21">
        <f>IFERROR(__xludf.DUMMYFUNCTION("""COMPUTED_VALUE"""),269.33230490018144)</f>
        <v>269.3323049</v>
      </c>
    </row>
    <row r="126">
      <c r="A126" s="20">
        <f>IFERROR(__xludf.DUMMYFUNCTION("""COMPUTED_VALUE"""),44686.0)</f>
        <v>44686</v>
      </c>
      <c r="B126" s="21">
        <f>IFERROR(__xludf.DUMMYFUNCTION("""COMPUTED_VALUE"""),250.79215686274514)</f>
        <v>250.7921569</v>
      </c>
      <c r="C126" s="22">
        <f>IFERROR(__xludf.DUMMYFUNCTION("""COMPUTED_VALUE"""),200.61666666666667)</f>
        <v>200.6166667</v>
      </c>
      <c r="D126" s="22">
        <f>IFERROR(__xludf.DUMMYFUNCTION("""COMPUTED_VALUE"""),365.45)</f>
        <v>365.45</v>
      </c>
      <c r="E126" s="21">
        <f>IFERROR(__xludf.DUMMYFUNCTION("""COMPUTED_VALUE"""),239.11692891640467)</f>
        <v>239.1169289</v>
      </c>
      <c r="F126" s="21">
        <f>IFERROR(__xludf.DUMMYFUNCTION("""COMPUTED_VALUE"""),237.86285714285714)</f>
        <v>237.8628571</v>
      </c>
      <c r="G126" s="21">
        <f>IFERROR(__xludf.DUMMYFUNCTION("""COMPUTED_VALUE"""),269.33230490018144)</f>
        <v>269.3323049</v>
      </c>
    </row>
    <row r="127">
      <c r="A127" s="20">
        <f>IFERROR(__xludf.DUMMYFUNCTION("""COMPUTED_VALUE"""),44687.0)</f>
        <v>44687</v>
      </c>
      <c r="B127" s="21">
        <f>IFERROR(__xludf.DUMMYFUNCTION("""COMPUTED_VALUE"""),250.79215686274514)</f>
        <v>250.7921569</v>
      </c>
      <c r="C127" s="22">
        <f>IFERROR(__xludf.DUMMYFUNCTION("""COMPUTED_VALUE"""),200.61666666666667)</f>
        <v>200.6166667</v>
      </c>
      <c r="D127" s="22">
        <f>IFERROR(__xludf.DUMMYFUNCTION("""COMPUTED_VALUE"""),365.45)</f>
        <v>365.45</v>
      </c>
      <c r="E127" s="21">
        <f>IFERROR(__xludf.DUMMYFUNCTION("""COMPUTED_VALUE"""),243.50624345412902)</f>
        <v>243.5062435</v>
      </c>
      <c r="F127" s="21">
        <f>IFERROR(__xludf.DUMMYFUNCTION("""COMPUTED_VALUE"""),238.6235714285714)</f>
        <v>238.6235714</v>
      </c>
      <c r="G127" s="21">
        <f>IFERROR(__xludf.DUMMYFUNCTION("""COMPUTED_VALUE"""),269.33230490018144)</f>
        <v>269.3323049</v>
      </c>
    </row>
    <row r="128">
      <c r="A128" s="20">
        <f>IFERROR(__xludf.DUMMYFUNCTION("""COMPUTED_VALUE"""),44688.0)</f>
        <v>44688</v>
      </c>
      <c r="B128" s="21">
        <f>IFERROR(__xludf.DUMMYFUNCTION("""COMPUTED_VALUE"""),250.79215686274514)</f>
        <v>250.7921569</v>
      </c>
      <c r="C128" s="22">
        <f>IFERROR(__xludf.DUMMYFUNCTION("""COMPUTED_VALUE"""),200.61666666666667)</f>
        <v>200.6166667</v>
      </c>
      <c r="D128" s="22">
        <f>IFERROR(__xludf.DUMMYFUNCTION("""COMPUTED_VALUE"""),365.45)</f>
        <v>365.45</v>
      </c>
      <c r="E128" s="21">
        <f>IFERROR(__xludf.DUMMYFUNCTION("""COMPUTED_VALUE"""),244.5209290110451)</f>
        <v>244.520929</v>
      </c>
      <c r="F128" s="21">
        <f>IFERROR(__xludf.DUMMYFUNCTION("""COMPUTED_VALUE"""),239.3842857142857)</f>
        <v>239.3842857</v>
      </c>
      <c r="G128" s="21">
        <f>IFERROR(__xludf.DUMMYFUNCTION("""COMPUTED_VALUE"""),269.33230490018144)</f>
        <v>269.3323049</v>
      </c>
    </row>
    <row r="129">
      <c r="A129" s="20">
        <f>IFERROR(__xludf.DUMMYFUNCTION("""COMPUTED_VALUE"""),44689.0)</f>
        <v>44689</v>
      </c>
      <c r="B129" s="21">
        <f>IFERROR(__xludf.DUMMYFUNCTION("""COMPUTED_VALUE"""),250.79215686274514)</f>
        <v>250.7921569</v>
      </c>
      <c r="C129" s="22">
        <f>IFERROR(__xludf.DUMMYFUNCTION("""COMPUTED_VALUE"""),200.61666666666667)</f>
        <v>200.6166667</v>
      </c>
      <c r="D129" s="22">
        <f>IFERROR(__xludf.DUMMYFUNCTION("""COMPUTED_VALUE"""),365.45)</f>
        <v>365.45</v>
      </c>
      <c r="E129" s="21">
        <f>IFERROR(__xludf.DUMMYFUNCTION("""COMPUTED_VALUE"""),244.46342871028335)</f>
        <v>244.4634287</v>
      </c>
      <c r="F129" s="21">
        <f>IFERROR(__xludf.DUMMYFUNCTION("""COMPUTED_VALUE"""),240.14499999999998)</f>
        <v>240.145</v>
      </c>
      <c r="G129" s="21">
        <f>IFERROR(__xludf.DUMMYFUNCTION("""COMPUTED_VALUE"""),269.33230490018144)</f>
        <v>269.3323049</v>
      </c>
    </row>
    <row r="130">
      <c r="A130" s="20">
        <f>IFERROR(__xludf.DUMMYFUNCTION("""COMPUTED_VALUE"""),44690.0)</f>
        <v>44690</v>
      </c>
      <c r="B130" s="21">
        <f>IFERROR(__xludf.DUMMYFUNCTION("""COMPUTED_VALUE"""),251.3627450980392)</f>
        <v>251.3627451</v>
      </c>
      <c r="C130" s="22">
        <f>IFERROR(__xludf.DUMMYFUNCTION("""COMPUTED_VALUE"""),194.11666666666665)</f>
        <v>194.1166667</v>
      </c>
      <c r="D130" s="22">
        <f>IFERROR(__xludf.DUMMYFUNCTION("""COMPUTED_VALUE"""),372.2333333333333)</f>
        <v>372.2333333</v>
      </c>
      <c r="E130" s="21">
        <f>IFERROR(__xludf.DUMMYFUNCTION("""COMPUTED_VALUE"""),248.49366149926846)</f>
        <v>248.4936615</v>
      </c>
      <c r="F130" s="21">
        <f>IFERROR(__xludf.DUMMYFUNCTION("""COMPUTED_VALUE"""),241.70749999999998)</f>
        <v>241.7075</v>
      </c>
      <c r="G130" s="21">
        <f>IFERROR(__xludf.DUMMYFUNCTION("""COMPUTED_VALUE"""),269.33230490018144)</f>
        <v>269.3323049</v>
      </c>
    </row>
    <row r="131">
      <c r="A131" s="20">
        <f>IFERROR(__xludf.DUMMYFUNCTION("""COMPUTED_VALUE"""),44691.0)</f>
        <v>44691</v>
      </c>
      <c r="B131" s="21">
        <f>IFERROR(__xludf.DUMMYFUNCTION("""COMPUTED_VALUE"""),251.3627450980392)</f>
        <v>251.3627451</v>
      </c>
      <c r="C131" s="22">
        <f>IFERROR(__xludf.DUMMYFUNCTION("""COMPUTED_VALUE"""),194.11666666666665)</f>
        <v>194.1166667</v>
      </c>
      <c r="D131" s="22">
        <f>IFERROR(__xludf.DUMMYFUNCTION("""COMPUTED_VALUE"""),372.2333333333333)</f>
        <v>372.2333333</v>
      </c>
      <c r="E131" s="21">
        <f>IFERROR(__xludf.DUMMYFUNCTION("""COMPUTED_VALUE"""),245.65408009893002)</f>
        <v>245.6540801</v>
      </c>
      <c r="F131" s="21">
        <f>IFERROR(__xludf.DUMMYFUNCTION("""COMPUTED_VALUE"""),243.26999999999998)</f>
        <v>243.27</v>
      </c>
      <c r="G131" s="21">
        <f>IFERROR(__xludf.DUMMYFUNCTION("""COMPUTED_VALUE"""),269.33230490018144)</f>
        <v>269.3323049</v>
      </c>
    </row>
    <row r="132">
      <c r="A132" s="20">
        <f>IFERROR(__xludf.DUMMYFUNCTION("""COMPUTED_VALUE"""),44692.0)</f>
        <v>44692</v>
      </c>
      <c r="B132" s="21">
        <f>IFERROR(__xludf.DUMMYFUNCTION("""COMPUTED_VALUE"""),251.3627450980392)</f>
        <v>251.3627451</v>
      </c>
      <c r="C132" s="22">
        <f>IFERROR(__xludf.DUMMYFUNCTION("""COMPUTED_VALUE"""),194.11666666666665)</f>
        <v>194.1166667</v>
      </c>
      <c r="D132" s="22">
        <f>IFERROR(__xludf.DUMMYFUNCTION("""COMPUTED_VALUE"""),372.2333333333333)</f>
        <v>372.2333333</v>
      </c>
      <c r="E132" s="21">
        <f>IFERROR(__xludf.DUMMYFUNCTION("""COMPUTED_VALUE"""),244.01355876236792)</f>
        <v>244.0135588</v>
      </c>
      <c r="F132" s="21">
        <f>IFERROR(__xludf.DUMMYFUNCTION("""COMPUTED_VALUE"""),244.83249999999998)</f>
        <v>244.8325</v>
      </c>
      <c r="G132" s="21">
        <f>IFERROR(__xludf.DUMMYFUNCTION("""COMPUTED_VALUE"""),269.33230490018144)</f>
        <v>269.3323049</v>
      </c>
    </row>
    <row r="133">
      <c r="A133" s="20">
        <f>IFERROR(__xludf.DUMMYFUNCTION("""COMPUTED_VALUE"""),44693.0)</f>
        <v>44693</v>
      </c>
      <c r="B133" s="21">
        <f>IFERROR(__xludf.DUMMYFUNCTION("""COMPUTED_VALUE"""),251.3627450980392)</f>
        <v>251.3627451</v>
      </c>
      <c r="C133" s="22">
        <f>IFERROR(__xludf.DUMMYFUNCTION("""COMPUTED_VALUE"""),194.11666666666665)</f>
        <v>194.1166667</v>
      </c>
      <c r="D133" s="22">
        <f>IFERROR(__xludf.DUMMYFUNCTION("""COMPUTED_VALUE"""),372.2333333333333)</f>
        <v>372.2333333</v>
      </c>
      <c r="E133" s="21">
        <f>IFERROR(__xludf.DUMMYFUNCTION("""COMPUTED_VALUE"""),223.05449268178674)</f>
        <v>223.0544927</v>
      </c>
      <c r="F133" s="21">
        <f>IFERROR(__xludf.DUMMYFUNCTION("""COMPUTED_VALUE"""),246.39499999999998)</f>
        <v>246.395</v>
      </c>
      <c r="G133" s="21">
        <f>IFERROR(__xludf.DUMMYFUNCTION("""COMPUTED_VALUE"""),269.33230490018144)</f>
        <v>269.3323049</v>
      </c>
    </row>
    <row r="134">
      <c r="A134" s="20">
        <f>IFERROR(__xludf.DUMMYFUNCTION("""COMPUTED_VALUE"""),44694.0)</f>
        <v>44694</v>
      </c>
      <c r="B134" s="21">
        <f>IFERROR(__xludf.DUMMYFUNCTION("""COMPUTED_VALUE"""),251.3627450980392)</f>
        <v>251.3627451</v>
      </c>
      <c r="C134" s="22">
        <f>IFERROR(__xludf.DUMMYFUNCTION("""COMPUTED_VALUE"""),194.11666666666665)</f>
        <v>194.1166667</v>
      </c>
      <c r="D134" s="22">
        <f>IFERROR(__xludf.DUMMYFUNCTION("""COMPUTED_VALUE"""),372.2333333333333)</f>
        <v>372.2333333</v>
      </c>
      <c r="E134" s="21">
        <f>IFERROR(__xludf.DUMMYFUNCTION("""COMPUTED_VALUE"""),219.84448299727882)</f>
        <v>219.844483</v>
      </c>
      <c r="F134" s="21">
        <f>IFERROR(__xludf.DUMMYFUNCTION("""COMPUTED_VALUE"""),247.95749999999998)</f>
        <v>247.9575</v>
      </c>
      <c r="G134" s="21">
        <f>IFERROR(__xludf.DUMMYFUNCTION("""COMPUTED_VALUE"""),269.33230490018144)</f>
        <v>269.3323049</v>
      </c>
    </row>
    <row r="135">
      <c r="A135" s="23">
        <f>IFERROR(__xludf.DUMMYFUNCTION("""COMPUTED_VALUE"""),44695.0)</f>
        <v>44695</v>
      </c>
      <c r="B135" s="21">
        <f>IFERROR(__xludf.DUMMYFUNCTION("""COMPUTED_VALUE"""),251.3627450980392)</f>
        <v>251.3627451</v>
      </c>
      <c r="C135" s="22">
        <f>IFERROR(__xludf.DUMMYFUNCTION("""COMPUTED_VALUE"""),194.11666666666665)</f>
        <v>194.1166667</v>
      </c>
      <c r="D135" s="22">
        <f>IFERROR(__xludf.DUMMYFUNCTION("""COMPUTED_VALUE"""),372.2333333333333)</f>
        <v>372.2333333</v>
      </c>
      <c r="E135" s="21">
        <f>IFERROR(__xludf.DUMMYFUNCTION("""COMPUTED_VALUE"""),219.69394488921355)</f>
        <v>219.6939449</v>
      </c>
      <c r="F135" s="21">
        <f>IFERROR(__xludf.DUMMYFUNCTION("""COMPUTED_VALUE"""),249.51999999999998)</f>
        <v>249.52</v>
      </c>
      <c r="G135" s="21">
        <f>IFERROR(__xludf.DUMMYFUNCTION("""COMPUTED_VALUE"""),269.33230490018144)</f>
        <v>269.3323049</v>
      </c>
    </row>
    <row r="136">
      <c r="A136" s="23">
        <f>IFERROR(__xludf.DUMMYFUNCTION("""COMPUTED_VALUE"""),44696.0)</f>
        <v>44696</v>
      </c>
      <c r="B136" s="21">
        <f>IFERROR(__xludf.DUMMYFUNCTION("""COMPUTED_VALUE"""),251.3627450980392)</f>
        <v>251.3627451</v>
      </c>
      <c r="C136" s="22">
        <f>IFERROR(__xludf.DUMMYFUNCTION("""COMPUTED_VALUE"""),194.11666666666665)</f>
        <v>194.1166667</v>
      </c>
      <c r="D136" s="22">
        <f>IFERROR(__xludf.DUMMYFUNCTION("""COMPUTED_VALUE"""),372.2333333333333)</f>
        <v>372.2333333</v>
      </c>
      <c r="E136" s="21">
        <f>IFERROR(__xludf.DUMMYFUNCTION("""COMPUTED_VALUE"""),220.98330690757297)</f>
        <v>220.9833069</v>
      </c>
      <c r="F136" s="21">
        <f>IFERROR(__xludf.DUMMYFUNCTION("""COMPUTED_VALUE"""),251.08249999999998)</f>
        <v>251.0825</v>
      </c>
      <c r="G136" s="21">
        <f>IFERROR(__xludf.DUMMYFUNCTION("""COMPUTED_VALUE"""),269.33230490018144)</f>
        <v>269.3323049</v>
      </c>
    </row>
    <row r="137">
      <c r="A137" s="23">
        <f>IFERROR(__xludf.DUMMYFUNCTION("""COMPUTED_VALUE"""),44697.0)</f>
        <v>44697</v>
      </c>
      <c r="B137" s="21">
        <f>IFERROR(__xludf.DUMMYFUNCTION("""COMPUTED_VALUE"""),248.67450980392155)</f>
        <v>248.6745098</v>
      </c>
      <c r="C137" s="22">
        <f>IFERROR(__xludf.DUMMYFUNCTION("""COMPUTED_VALUE"""),194.11666666666665)</f>
        <v>194.1166667</v>
      </c>
      <c r="D137" s="22">
        <f>IFERROR(__xludf.DUMMYFUNCTION("""COMPUTED_VALUE"""),348.23333333333335)</f>
        <v>348.2333333</v>
      </c>
      <c r="E137" s="21">
        <f>IFERROR(__xludf.DUMMYFUNCTION("""COMPUTED_VALUE"""),218.30610756644452)</f>
        <v>218.3061076</v>
      </c>
      <c r="F137" s="21">
        <f>IFERROR(__xludf.DUMMYFUNCTION("""COMPUTED_VALUE"""),251.08249999999998)</f>
        <v>251.0825</v>
      </c>
      <c r="G137" s="21">
        <f>IFERROR(__xludf.DUMMYFUNCTION("""COMPUTED_VALUE"""),269.33230490018144)</f>
        <v>269.3323049</v>
      </c>
    </row>
    <row r="138">
      <c r="A138" s="23">
        <f>IFERROR(__xludf.DUMMYFUNCTION("""COMPUTED_VALUE"""),44698.0)</f>
        <v>44698</v>
      </c>
      <c r="B138" s="21">
        <f>IFERROR(__xludf.DUMMYFUNCTION("""COMPUTED_VALUE"""),248.67450980392155)</f>
        <v>248.6745098</v>
      </c>
      <c r="C138" s="22">
        <f>IFERROR(__xludf.DUMMYFUNCTION("""COMPUTED_VALUE"""),194.11666666666665)</f>
        <v>194.1166667</v>
      </c>
      <c r="D138" s="22">
        <f>IFERROR(__xludf.DUMMYFUNCTION("""COMPUTED_VALUE"""),348.23333333333335)</f>
        <v>348.2333333</v>
      </c>
      <c r="E138" s="21">
        <f>IFERROR(__xludf.DUMMYFUNCTION("""COMPUTED_VALUE"""),218.2784497502621)</f>
        <v>218.2784498</v>
      </c>
      <c r="F138" s="21">
        <f>IFERROR(__xludf.DUMMYFUNCTION("""COMPUTED_VALUE"""),251.08249999999998)</f>
        <v>251.0825</v>
      </c>
      <c r="G138" s="21">
        <f>IFERROR(__xludf.DUMMYFUNCTION("""COMPUTED_VALUE"""),269.33230490018144)</f>
        <v>269.3323049</v>
      </c>
    </row>
    <row r="139">
      <c r="A139" s="23">
        <f>IFERROR(__xludf.DUMMYFUNCTION("""COMPUTED_VALUE"""),44699.0)</f>
        <v>44699</v>
      </c>
      <c r="B139" s="21">
        <f>IFERROR(__xludf.DUMMYFUNCTION("""COMPUTED_VALUE"""),248.67450980392155)</f>
        <v>248.6745098</v>
      </c>
      <c r="C139" s="22">
        <f>IFERROR(__xludf.DUMMYFUNCTION("""COMPUTED_VALUE"""),194.11666666666665)</f>
        <v>194.1166667</v>
      </c>
      <c r="D139" s="22">
        <f>IFERROR(__xludf.DUMMYFUNCTION("""COMPUTED_VALUE"""),348.23333333333335)</f>
        <v>348.2333333</v>
      </c>
      <c r="E139" s="21">
        <f>IFERROR(__xludf.DUMMYFUNCTION("""COMPUTED_VALUE"""),217.10023654142833)</f>
        <v>217.1002365</v>
      </c>
      <c r="F139" s="21">
        <f>IFERROR(__xludf.DUMMYFUNCTION("""COMPUTED_VALUE"""),251.08249999999998)</f>
        <v>251.0825</v>
      </c>
      <c r="G139" s="21">
        <f>IFERROR(__xludf.DUMMYFUNCTION("""COMPUTED_VALUE"""),269.33230490018144)</f>
        <v>269.3323049</v>
      </c>
    </row>
    <row r="140">
      <c r="A140" s="23">
        <f>IFERROR(__xludf.DUMMYFUNCTION("""COMPUTED_VALUE"""),44700.0)</f>
        <v>44700</v>
      </c>
      <c r="B140" s="21">
        <f>IFERROR(__xludf.DUMMYFUNCTION("""COMPUTED_VALUE"""),248.67450980392155)</f>
        <v>248.6745098</v>
      </c>
      <c r="C140" s="22">
        <f>IFERROR(__xludf.DUMMYFUNCTION("""COMPUTED_VALUE"""),194.11666666666665)</f>
        <v>194.1166667</v>
      </c>
      <c r="D140" s="22">
        <f>IFERROR(__xludf.DUMMYFUNCTION("""COMPUTED_VALUE"""),348.23333333333335)</f>
        <v>348.2333333</v>
      </c>
      <c r="E140" s="21">
        <f>IFERROR(__xludf.DUMMYFUNCTION("""COMPUTED_VALUE"""),235.8210665391604)</f>
        <v>235.8210665</v>
      </c>
      <c r="F140" s="21">
        <f>IFERROR(__xludf.DUMMYFUNCTION("""COMPUTED_VALUE"""),251.08249999999998)</f>
        <v>251.0825</v>
      </c>
      <c r="G140" s="21">
        <f>IFERROR(__xludf.DUMMYFUNCTION("""COMPUTED_VALUE"""),269.33230490018144)</f>
        <v>269.3323049</v>
      </c>
    </row>
    <row r="141">
      <c r="A141" s="23">
        <f>IFERROR(__xludf.DUMMYFUNCTION("""COMPUTED_VALUE"""),44701.0)</f>
        <v>44701</v>
      </c>
      <c r="B141" s="21">
        <f>IFERROR(__xludf.DUMMYFUNCTION("""COMPUTED_VALUE"""),248.67450980392155)</f>
        <v>248.6745098</v>
      </c>
      <c r="C141" s="22">
        <f>IFERROR(__xludf.DUMMYFUNCTION("""COMPUTED_VALUE"""),194.11666666666665)</f>
        <v>194.1166667</v>
      </c>
      <c r="D141" s="22">
        <f>IFERROR(__xludf.DUMMYFUNCTION("""COMPUTED_VALUE"""),348.23333333333335)</f>
        <v>348.2333333</v>
      </c>
      <c r="E141" s="21">
        <f>IFERROR(__xludf.DUMMYFUNCTION("""COMPUTED_VALUE"""),235.06575653845061)</f>
        <v>235.0657565</v>
      </c>
      <c r="F141" s="21">
        <f>IFERROR(__xludf.DUMMYFUNCTION("""COMPUTED_VALUE"""),251.08249999999998)</f>
        <v>251.0825</v>
      </c>
      <c r="G141" s="21">
        <f>IFERROR(__xludf.DUMMYFUNCTION("""COMPUTED_VALUE"""),269.33230490018144)</f>
        <v>269.3323049</v>
      </c>
    </row>
    <row r="142">
      <c r="A142" s="23">
        <f>IFERROR(__xludf.DUMMYFUNCTION("""COMPUTED_VALUE"""),44702.0)</f>
        <v>44702</v>
      </c>
      <c r="B142" s="21">
        <f>IFERROR(__xludf.DUMMYFUNCTION("""COMPUTED_VALUE"""),248.67450980392155)</f>
        <v>248.6745098</v>
      </c>
      <c r="C142" s="22">
        <f>IFERROR(__xludf.DUMMYFUNCTION("""COMPUTED_VALUE"""),194.11666666666665)</f>
        <v>194.1166667</v>
      </c>
      <c r="D142" s="22">
        <f>IFERROR(__xludf.DUMMYFUNCTION("""COMPUTED_VALUE"""),348.23333333333335)</f>
        <v>348.2333333</v>
      </c>
      <c r="E142" s="21">
        <f>IFERROR(__xludf.DUMMYFUNCTION("""COMPUTED_VALUE"""),234.46010728107441)</f>
        <v>234.4601073</v>
      </c>
      <c r="F142" s="21">
        <f>IFERROR(__xludf.DUMMYFUNCTION("""COMPUTED_VALUE"""),251.08249999999998)</f>
        <v>251.0825</v>
      </c>
      <c r="G142" s="21">
        <f>IFERROR(__xludf.DUMMYFUNCTION("""COMPUTED_VALUE"""),269.33230490018144)</f>
        <v>269.3323049</v>
      </c>
    </row>
    <row r="143">
      <c r="A143" s="23">
        <f>IFERROR(__xludf.DUMMYFUNCTION("""COMPUTED_VALUE"""),44703.0)</f>
        <v>44703</v>
      </c>
      <c r="B143" s="21">
        <f>IFERROR(__xludf.DUMMYFUNCTION("""COMPUTED_VALUE"""),248.67450980392155)</f>
        <v>248.6745098</v>
      </c>
      <c r="C143" s="22">
        <f>IFERROR(__xludf.DUMMYFUNCTION("""COMPUTED_VALUE"""),194.11666666666665)</f>
        <v>194.1166667</v>
      </c>
      <c r="D143" s="22">
        <f>IFERROR(__xludf.DUMMYFUNCTION("""COMPUTED_VALUE"""),348.23333333333335)</f>
        <v>348.2333333</v>
      </c>
      <c r="E143" s="21">
        <f>IFERROR(__xludf.DUMMYFUNCTION("""COMPUTED_VALUE"""),230.80654120897324)</f>
        <v>230.8065412</v>
      </c>
      <c r="F143" s="21">
        <f>IFERROR(__xludf.DUMMYFUNCTION("""COMPUTED_VALUE"""),251.08249999999998)</f>
        <v>251.0825</v>
      </c>
      <c r="G143" s="21">
        <f>IFERROR(__xludf.DUMMYFUNCTION("""COMPUTED_VALUE"""),269.33230490018144)</f>
        <v>269.3323049</v>
      </c>
    </row>
    <row r="144">
      <c r="A144" s="23">
        <f>IFERROR(__xludf.DUMMYFUNCTION("""COMPUTED_VALUE"""),44704.0)</f>
        <v>44704</v>
      </c>
      <c r="B144" s="21">
        <f>IFERROR(__xludf.DUMMYFUNCTION("""COMPUTED_VALUE"""),248.67450980392155)</f>
        <v>248.6745098</v>
      </c>
      <c r="C144" s="22">
        <f>IFERROR(__xludf.DUMMYFUNCTION("""COMPUTED_VALUE"""),194.11666666666665)</f>
        <v>194.1166667</v>
      </c>
      <c r="D144" s="22">
        <f>IFERROR(__xludf.DUMMYFUNCTION("""COMPUTED_VALUE"""),348.23333333333335)</f>
        <v>348.2333333</v>
      </c>
      <c r="E144" s="21">
        <f>IFERROR(__xludf.DUMMYFUNCTION("""COMPUTED_VALUE"""),228.57690815583163)</f>
        <v>228.5769082</v>
      </c>
      <c r="F144" s="21">
        <f>IFERROR(__xludf.DUMMYFUNCTION("""COMPUTED_VALUE"""),249.77785714285713)</f>
        <v>249.7778571</v>
      </c>
      <c r="G144" s="21">
        <f>IFERROR(__xludf.DUMMYFUNCTION("""COMPUTED_VALUE"""),269.33230490018144)</f>
        <v>269.3323049</v>
      </c>
    </row>
    <row r="145">
      <c r="A145" s="23">
        <f>IFERROR(__xludf.DUMMYFUNCTION("""COMPUTED_VALUE"""),44705.0)</f>
        <v>44705</v>
      </c>
      <c r="B145" s="21">
        <f>IFERROR(__xludf.DUMMYFUNCTION("""COMPUTED_VALUE"""),248.67450980392155)</f>
        <v>248.6745098</v>
      </c>
      <c r="C145" s="22">
        <f>IFERROR(__xludf.DUMMYFUNCTION("""COMPUTED_VALUE"""),194.11666666666665)</f>
        <v>194.1166667</v>
      </c>
      <c r="D145" s="22">
        <f>IFERROR(__xludf.DUMMYFUNCTION("""COMPUTED_VALUE"""),348.23333333333335)</f>
        <v>348.2333333</v>
      </c>
      <c r="E145" s="21">
        <f>IFERROR(__xludf.DUMMYFUNCTION("""COMPUTED_VALUE"""),227.29789132834995)</f>
        <v>227.2978913</v>
      </c>
      <c r="F145" s="21">
        <f>IFERROR(__xludf.DUMMYFUNCTION("""COMPUTED_VALUE"""),248.47321428571428)</f>
        <v>248.4732143</v>
      </c>
      <c r="G145" s="21">
        <f>IFERROR(__xludf.DUMMYFUNCTION("""COMPUTED_VALUE"""),269.33230490018144)</f>
        <v>269.3323049</v>
      </c>
    </row>
    <row r="146">
      <c r="A146" s="23">
        <f>IFERROR(__xludf.DUMMYFUNCTION("""COMPUTED_VALUE"""),44706.0)</f>
        <v>44706</v>
      </c>
      <c r="B146" s="21">
        <f>IFERROR(__xludf.DUMMYFUNCTION("""COMPUTED_VALUE"""),248.67450980392155)</f>
        <v>248.6745098</v>
      </c>
      <c r="C146" s="22">
        <f>IFERROR(__xludf.DUMMYFUNCTION("""COMPUTED_VALUE"""),194.11666666666665)</f>
        <v>194.1166667</v>
      </c>
      <c r="D146" s="22">
        <f>IFERROR(__xludf.DUMMYFUNCTION("""COMPUTED_VALUE"""),348.23333333333335)</f>
        <v>348.2333333</v>
      </c>
      <c r="E146" s="21">
        <f>IFERROR(__xludf.DUMMYFUNCTION("""COMPUTED_VALUE"""),225.22884472937292)</f>
        <v>225.2288447</v>
      </c>
      <c r="F146" s="21">
        <f>IFERROR(__xludf.DUMMYFUNCTION("""COMPUTED_VALUE"""),247.16857142857143)</f>
        <v>247.1685714</v>
      </c>
      <c r="G146" s="21">
        <f>IFERROR(__xludf.DUMMYFUNCTION("""COMPUTED_VALUE"""),269.33230490018144)</f>
        <v>269.3323049</v>
      </c>
    </row>
    <row r="147">
      <c r="A147" s="23">
        <f>IFERROR(__xludf.DUMMYFUNCTION("""COMPUTED_VALUE"""),44707.0)</f>
        <v>44707</v>
      </c>
      <c r="B147" s="21">
        <f>IFERROR(__xludf.DUMMYFUNCTION("""COMPUTED_VALUE"""),248.67450980392155)</f>
        <v>248.6745098</v>
      </c>
      <c r="C147" s="22">
        <f>IFERROR(__xludf.DUMMYFUNCTION("""COMPUTED_VALUE"""),194.11666666666665)</f>
        <v>194.1166667</v>
      </c>
      <c r="D147" s="22">
        <f>IFERROR(__xludf.DUMMYFUNCTION("""COMPUTED_VALUE"""),348.23333333333335)</f>
        <v>348.2333333</v>
      </c>
      <c r="E147" s="21">
        <f>IFERROR(__xludf.DUMMYFUNCTION("""COMPUTED_VALUE"""),221.69831409309032)</f>
        <v>221.6983141</v>
      </c>
      <c r="F147" s="21">
        <f>IFERROR(__xludf.DUMMYFUNCTION("""COMPUTED_VALUE"""),245.8639285714286)</f>
        <v>245.8639286</v>
      </c>
      <c r="G147" s="21">
        <f>IFERROR(__xludf.DUMMYFUNCTION("""COMPUTED_VALUE"""),269.33230490018144)</f>
        <v>269.3323049</v>
      </c>
    </row>
    <row r="148">
      <c r="A148" s="23">
        <f>IFERROR(__xludf.DUMMYFUNCTION("""COMPUTED_VALUE"""),44708.0)</f>
        <v>44708</v>
      </c>
      <c r="B148" s="21">
        <f>IFERROR(__xludf.DUMMYFUNCTION("""COMPUTED_VALUE"""),248.67450980392155)</f>
        <v>248.6745098</v>
      </c>
      <c r="C148" s="22">
        <f>IFERROR(__xludf.DUMMYFUNCTION("""COMPUTED_VALUE"""),194.11666666666665)</f>
        <v>194.1166667</v>
      </c>
      <c r="D148" s="22">
        <f>IFERROR(__xludf.DUMMYFUNCTION("""COMPUTED_VALUE"""),348.23333333333335)</f>
        <v>348.2333333</v>
      </c>
      <c r="E148" s="21">
        <f>IFERROR(__xludf.DUMMYFUNCTION("""COMPUTED_VALUE"""),221.50816906344636)</f>
        <v>221.5081691</v>
      </c>
      <c r="F148" s="21">
        <f>IFERROR(__xludf.DUMMYFUNCTION("""COMPUTED_VALUE"""),244.55928571428575)</f>
        <v>244.5592857</v>
      </c>
      <c r="G148" s="21">
        <f>IFERROR(__xludf.DUMMYFUNCTION("""COMPUTED_VALUE"""),269.33230490018144)</f>
        <v>269.3323049</v>
      </c>
    </row>
    <row r="149">
      <c r="A149" s="23">
        <f>IFERROR(__xludf.DUMMYFUNCTION("""COMPUTED_VALUE"""),44709.0)</f>
        <v>44709</v>
      </c>
      <c r="B149" s="21">
        <f>IFERROR(__xludf.DUMMYFUNCTION("""COMPUTED_VALUE"""),248.67450980392155)</f>
        <v>248.6745098</v>
      </c>
      <c r="C149" s="22">
        <f>IFERROR(__xludf.DUMMYFUNCTION("""COMPUTED_VALUE"""),194.11666666666665)</f>
        <v>194.1166667</v>
      </c>
      <c r="D149" s="22">
        <f>IFERROR(__xludf.DUMMYFUNCTION("""COMPUTED_VALUE"""),348.23333333333335)</f>
        <v>348.2333333</v>
      </c>
      <c r="E149" s="21">
        <f>IFERROR(__xludf.DUMMYFUNCTION("""COMPUTED_VALUE"""),219.8806555787656)</f>
        <v>219.8806556</v>
      </c>
      <c r="F149" s="21">
        <f>IFERROR(__xludf.DUMMYFUNCTION("""COMPUTED_VALUE"""),243.2546428571429)</f>
        <v>243.2546429</v>
      </c>
      <c r="G149" s="21">
        <f>IFERROR(__xludf.DUMMYFUNCTION("""COMPUTED_VALUE"""),269.33230490018144)</f>
        <v>269.3323049</v>
      </c>
    </row>
    <row r="150">
      <c r="A150" s="23">
        <f>IFERROR(__xludf.DUMMYFUNCTION("""COMPUTED_VALUE"""),44710.0)</f>
        <v>44710</v>
      </c>
      <c r="B150" s="21">
        <f>IFERROR(__xludf.DUMMYFUNCTION("""COMPUTED_VALUE"""),248.67450980392155)</f>
        <v>248.6745098</v>
      </c>
      <c r="C150" s="22">
        <f>IFERROR(__xludf.DUMMYFUNCTION("""COMPUTED_VALUE"""),194.11666666666665)</f>
        <v>194.1166667</v>
      </c>
      <c r="D150" s="22">
        <f>IFERROR(__xludf.DUMMYFUNCTION("""COMPUTED_VALUE"""),348.23333333333335)</f>
        <v>348.2333333</v>
      </c>
      <c r="E150" s="21">
        <f>IFERROR(__xludf.DUMMYFUNCTION("""COMPUTED_VALUE"""),219.20519218281422)</f>
        <v>219.2051922</v>
      </c>
      <c r="F150" s="21">
        <f>IFERROR(__xludf.DUMMYFUNCTION("""COMPUTED_VALUE"""),241.95000000000002)</f>
        <v>241.95</v>
      </c>
      <c r="G150" s="21">
        <f>IFERROR(__xludf.DUMMYFUNCTION("""COMPUTED_VALUE"""),269.33230490018144)</f>
        <v>269.3323049</v>
      </c>
    </row>
    <row r="151">
      <c r="A151" s="23">
        <f>IFERROR(__xludf.DUMMYFUNCTION("""COMPUTED_VALUE"""),44711.0)</f>
        <v>44711</v>
      </c>
      <c r="B151" s="21">
        <f>IFERROR(__xludf.DUMMYFUNCTION("""COMPUTED_VALUE"""),251.97592592592588)</f>
        <v>251.9759259</v>
      </c>
      <c r="C151" s="22">
        <f>IFERROR(__xludf.DUMMYFUNCTION("""COMPUTED_VALUE"""),202.11666666666667)</f>
        <v>202.1166667</v>
      </c>
      <c r="D151" s="22">
        <f>IFERROR(__xludf.DUMMYFUNCTION("""COMPUTED_VALUE"""),348.23333333333335)</f>
        <v>348.2333333</v>
      </c>
      <c r="E151" s="21">
        <f>IFERROR(__xludf.DUMMYFUNCTION("""COMPUTED_VALUE"""),219.64003578508985)</f>
        <v>219.6400358</v>
      </c>
      <c r="F151" s="21">
        <f>IFERROR(__xludf.DUMMYFUNCTION("""COMPUTED_VALUE"""),241.49785714285716)</f>
        <v>241.4978571</v>
      </c>
      <c r="G151" s="21">
        <f>IFERROR(__xludf.DUMMYFUNCTION("""COMPUTED_VALUE"""),269.33230490018144)</f>
        <v>269.3323049</v>
      </c>
    </row>
    <row r="152">
      <c r="A152" s="23">
        <f>IFERROR(__xludf.DUMMYFUNCTION("""COMPUTED_VALUE"""),44712.0)</f>
        <v>44712</v>
      </c>
      <c r="B152" s="21">
        <f>IFERROR(__xludf.DUMMYFUNCTION("""COMPUTED_VALUE"""),251.97592592592588)</f>
        <v>251.9759259</v>
      </c>
      <c r="C152" s="22">
        <f>IFERROR(__xludf.DUMMYFUNCTION("""COMPUTED_VALUE"""),202.11666666666667)</f>
        <v>202.1166667</v>
      </c>
      <c r="D152" s="22">
        <f>IFERROR(__xludf.DUMMYFUNCTION("""COMPUTED_VALUE"""),348.23333333333335)</f>
        <v>348.2333333</v>
      </c>
      <c r="E152" s="21">
        <f>IFERROR(__xludf.DUMMYFUNCTION("""COMPUTED_VALUE"""),220.50326005650393)</f>
        <v>220.5032601</v>
      </c>
      <c r="F152" s="21">
        <f>IFERROR(__xludf.DUMMYFUNCTION("""COMPUTED_VALUE"""),241.0457142857143)</f>
        <v>241.0457143</v>
      </c>
      <c r="G152" s="21">
        <f>IFERROR(__xludf.DUMMYFUNCTION("""COMPUTED_VALUE"""),269.33230490018144)</f>
        <v>269.3323049</v>
      </c>
    </row>
    <row r="153">
      <c r="A153" s="23">
        <f>IFERROR(__xludf.DUMMYFUNCTION("""COMPUTED_VALUE"""),44713.0)</f>
        <v>44713</v>
      </c>
      <c r="B153" s="21">
        <f>IFERROR(__xludf.DUMMYFUNCTION("""COMPUTED_VALUE"""),251.97592592592588)</f>
        <v>251.9759259</v>
      </c>
      <c r="C153" s="22">
        <f>IFERROR(__xludf.DUMMYFUNCTION("""COMPUTED_VALUE"""),202.11666666666667)</f>
        <v>202.1166667</v>
      </c>
      <c r="D153" s="22">
        <f>IFERROR(__xludf.DUMMYFUNCTION("""COMPUTED_VALUE"""),348.23333333333335)</f>
        <v>348.2333333</v>
      </c>
      <c r="E153" s="21">
        <f>IFERROR(__xludf.DUMMYFUNCTION("""COMPUTED_VALUE"""),224.41111830952227)</f>
        <v>224.4111183</v>
      </c>
      <c r="F153" s="21">
        <f>IFERROR(__xludf.DUMMYFUNCTION("""COMPUTED_VALUE"""),240.59357142857147)</f>
        <v>240.5935714</v>
      </c>
      <c r="G153" s="21">
        <f>IFERROR(__xludf.DUMMYFUNCTION("""COMPUTED_VALUE"""),269.33230490018144)</f>
        <v>269.3323049</v>
      </c>
    </row>
    <row r="154">
      <c r="A154" s="20">
        <f>IFERROR(__xludf.DUMMYFUNCTION("""COMPUTED_VALUE"""),44714.0)</f>
        <v>44714</v>
      </c>
      <c r="B154" s="21">
        <f>IFERROR(__xludf.DUMMYFUNCTION("""COMPUTED_VALUE"""),251.97592592592588)</f>
        <v>251.9759259</v>
      </c>
      <c r="C154" s="22">
        <f>IFERROR(__xludf.DUMMYFUNCTION("""COMPUTED_VALUE"""),202.11666666666667)</f>
        <v>202.1166667</v>
      </c>
      <c r="D154" s="22">
        <f>IFERROR(__xludf.DUMMYFUNCTION("""COMPUTED_VALUE"""),348.23333333333335)</f>
        <v>348.2333333</v>
      </c>
      <c r="E154" s="21">
        <f>IFERROR(__xludf.DUMMYFUNCTION("""COMPUTED_VALUE"""),222.89070044528745)</f>
        <v>222.8907004</v>
      </c>
      <c r="F154" s="21">
        <f>IFERROR(__xludf.DUMMYFUNCTION("""COMPUTED_VALUE"""),240.14142857142858)</f>
        <v>240.1414286</v>
      </c>
      <c r="G154" s="21">
        <f>IFERROR(__xludf.DUMMYFUNCTION("""COMPUTED_VALUE"""),269.33230490018144)</f>
        <v>269.3323049</v>
      </c>
    </row>
    <row r="155">
      <c r="A155" s="20">
        <f>IFERROR(__xludf.DUMMYFUNCTION("""COMPUTED_VALUE"""),44715.0)</f>
        <v>44715</v>
      </c>
      <c r="B155" s="21">
        <f>IFERROR(__xludf.DUMMYFUNCTION("""COMPUTED_VALUE"""),251.97592592592588)</f>
        <v>251.9759259</v>
      </c>
      <c r="C155" s="22">
        <f>IFERROR(__xludf.DUMMYFUNCTION("""COMPUTED_VALUE"""),202.11666666666667)</f>
        <v>202.1166667</v>
      </c>
      <c r="D155" s="22">
        <f>IFERROR(__xludf.DUMMYFUNCTION("""COMPUTED_VALUE"""),348.23333333333335)</f>
        <v>348.2333333</v>
      </c>
      <c r="E155" s="21">
        <f>IFERROR(__xludf.DUMMYFUNCTION("""COMPUTED_VALUE"""),226.57931948877277)</f>
        <v>226.5793195</v>
      </c>
      <c r="F155" s="21">
        <f>IFERROR(__xludf.DUMMYFUNCTION("""COMPUTED_VALUE"""),239.68928571428575)</f>
        <v>239.6892857</v>
      </c>
      <c r="G155" s="21">
        <f>IFERROR(__xludf.DUMMYFUNCTION("""COMPUTED_VALUE"""),269.33230490018144)</f>
        <v>269.3323049</v>
      </c>
    </row>
    <row r="156">
      <c r="A156" s="20">
        <f>IFERROR(__xludf.DUMMYFUNCTION("""COMPUTED_VALUE"""),44716.0)</f>
        <v>44716</v>
      </c>
      <c r="B156" s="21">
        <f>IFERROR(__xludf.DUMMYFUNCTION("""COMPUTED_VALUE"""),251.97592592592588)</f>
        <v>251.9759259</v>
      </c>
      <c r="C156" s="22">
        <f>IFERROR(__xludf.DUMMYFUNCTION("""COMPUTED_VALUE"""),202.11666666666667)</f>
        <v>202.1166667</v>
      </c>
      <c r="D156" s="22">
        <f>IFERROR(__xludf.DUMMYFUNCTION("""COMPUTED_VALUE"""),348.23333333333335)</f>
        <v>348.2333333</v>
      </c>
      <c r="E156" s="21">
        <f>IFERROR(__xludf.DUMMYFUNCTION("""COMPUTED_VALUE"""),227.80450176496808)</f>
        <v>227.8045018</v>
      </c>
      <c r="F156" s="21">
        <f>IFERROR(__xludf.DUMMYFUNCTION("""COMPUTED_VALUE"""),239.23714285714286)</f>
        <v>239.2371429</v>
      </c>
      <c r="G156" s="21">
        <f>IFERROR(__xludf.DUMMYFUNCTION("""COMPUTED_VALUE"""),269.33230490018144)</f>
        <v>269.3323049</v>
      </c>
    </row>
    <row r="157">
      <c r="A157" s="20">
        <f>IFERROR(__xludf.DUMMYFUNCTION("""COMPUTED_VALUE"""),44717.0)</f>
        <v>44717</v>
      </c>
      <c r="B157" s="21">
        <f>IFERROR(__xludf.DUMMYFUNCTION("""COMPUTED_VALUE"""),251.97592592592588)</f>
        <v>251.9759259</v>
      </c>
      <c r="C157" s="22">
        <f>IFERROR(__xludf.DUMMYFUNCTION("""COMPUTED_VALUE"""),202.11666666666667)</f>
        <v>202.1166667</v>
      </c>
      <c r="D157" s="22">
        <f>IFERROR(__xludf.DUMMYFUNCTION("""COMPUTED_VALUE"""),348.23333333333335)</f>
        <v>348.2333333</v>
      </c>
      <c r="E157" s="21">
        <f>IFERROR(__xludf.DUMMYFUNCTION("""COMPUTED_VALUE"""),229.9562048950608)</f>
        <v>229.9562049</v>
      </c>
      <c r="F157" s="21">
        <f>IFERROR(__xludf.DUMMYFUNCTION("""COMPUTED_VALUE"""),238.78500000000003)</f>
        <v>238.785</v>
      </c>
      <c r="G157" s="21">
        <f>IFERROR(__xludf.DUMMYFUNCTION("""COMPUTED_VALUE"""),269.33230490018144)</f>
        <v>269.3323049</v>
      </c>
    </row>
    <row r="158">
      <c r="A158" s="20">
        <f>IFERROR(__xludf.DUMMYFUNCTION("""COMPUTED_VALUE"""),44718.0)</f>
        <v>44718</v>
      </c>
      <c r="B158" s="21">
        <f>IFERROR(__xludf.DUMMYFUNCTION("""COMPUTED_VALUE"""),250.3456140350877)</f>
        <v>250.345614</v>
      </c>
      <c r="C158" s="22">
        <f>IFERROR(__xludf.DUMMYFUNCTION("""COMPUTED_VALUE"""),193.51666666666668)</f>
        <v>193.5166667</v>
      </c>
      <c r="D158" s="22">
        <f>IFERROR(__xludf.DUMMYFUNCTION("""COMPUTED_VALUE"""),348.23333333333335)</f>
        <v>348.2333333</v>
      </c>
      <c r="E158" s="21">
        <f>IFERROR(__xludf.DUMMYFUNCTION("""COMPUTED_VALUE"""),233.66913640357015)</f>
        <v>233.6691364</v>
      </c>
      <c r="F158" s="21">
        <f>IFERROR(__xludf.DUMMYFUNCTION("""COMPUTED_VALUE"""),238.78500000000005)</f>
        <v>238.785</v>
      </c>
      <c r="G158" s="21">
        <f>IFERROR(__xludf.DUMMYFUNCTION("""COMPUTED_VALUE"""),269.33230490018144)</f>
        <v>269.3323049</v>
      </c>
    </row>
    <row r="159">
      <c r="A159" s="20">
        <f>IFERROR(__xludf.DUMMYFUNCTION("""COMPUTED_VALUE"""),44719.0)</f>
        <v>44719</v>
      </c>
      <c r="B159" s="21">
        <f>IFERROR(__xludf.DUMMYFUNCTION("""COMPUTED_VALUE"""),250.3456140350877)</f>
        <v>250.345614</v>
      </c>
      <c r="C159" s="22">
        <f>IFERROR(__xludf.DUMMYFUNCTION("""COMPUTED_VALUE"""),193.51666666666668)</f>
        <v>193.5166667</v>
      </c>
      <c r="D159" s="22">
        <f>IFERROR(__xludf.DUMMYFUNCTION("""COMPUTED_VALUE"""),348.23333333333335)</f>
        <v>348.2333333</v>
      </c>
      <c r="E159" s="21">
        <f>IFERROR(__xludf.DUMMYFUNCTION("""COMPUTED_VALUE"""),233.18481082570185)</f>
        <v>233.1848108</v>
      </c>
      <c r="F159" s="21">
        <f>IFERROR(__xludf.DUMMYFUNCTION("""COMPUTED_VALUE"""),238.78500000000005)</f>
        <v>238.785</v>
      </c>
      <c r="G159" s="21">
        <f>IFERROR(__xludf.DUMMYFUNCTION("""COMPUTED_VALUE"""),269.33230490018144)</f>
        <v>269.3323049</v>
      </c>
    </row>
    <row r="160">
      <c r="A160" s="20">
        <f>IFERROR(__xludf.DUMMYFUNCTION("""COMPUTED_VALUE"""),44720.0)</f>
        <v>44720</v>
      </c>
      <c r="B160" s="21">
        <f>IFERROR(__xludf.DUMMYFUNCTION("""COMPUTED_VALUE"""),250.3456140350877)</f>
        <v>250.345614</v>
      </c>
      <c r="C160" s="22">
        <f>IFERROR(__xludf.DUMMYFUNCTION("""COMPUTED_VALUE"""),193.51666666666668)</f>
        <v>193.5166667</v>
      </c>
      <c r="D160" s="22">
        <f>IFERROR(__xludf.DUMMYFUNCTION("""COMPUTED_VALUE"""),348.23333333333335)</f>
        <v>348.2333333</v>
      </c>
      <c r="E160" s="21">
        <f>IFERROR(__xludf.DUMMYFUNCTION("""COMPUTED_VALUE"""),226.70453081960514)</f>
        <v>226.7045308</v>
      </c>
      <c r="F160" s="21">
        <f>IFERROR(__xludf.DUMMYFUNCTION("""COMPUTED_VALUE"""),238.78500000000005)</f>
        <v>238.785</v>
      </c>
      <c r="G160" s="21">
        <f>IFERROR(__xludf.DUMMYFUNCTION("""COMPUTED_VALUE"""),269.33230490018144)</f>
        <v>269.3323049</v>
      </c>
    </row>
    <row r="161">
      <c r="A161" s="20">
        <f>IFERROR(__xludf.DUMMYFUNCTION("""COMPUTED_VALUE"""),44721.0)</f>
        <v>44721</v>
      </c>
      <c r="B161" s="21">
        <f>IFERROR(__xludf.DUMMYFUNCTION("""COMPUTED_VALUE"""),250.3456140350877)</f>
        <v>250.345614</v>
      </c>
      <c r="C161" s="22">
        <f>IFERROR(__xludf.DUMMYFUNCTION("""COMPUTED_VALUE"""),193.51666666666668)</f>
        <v>193.5166667</v>
      </c>
      <c r="D161" s="22">
        <f>IFERROR(__xludf.DUMMYFUNCTION("""COMPUTED_VALUE"""),348.23333333333335)</f>
        <v>348.2333333</v>
      </c>
      <c r="E161" s="21">
        <f>IFERROR(__xludf.DUMMYFUNCTION("""COMPUTED_VALUE"""),226.72627393116872)</f>
        <v>226.7262739</v>
      </c>
      <c r="F161" s="21">
        <f>IFERROR(__xludf.DUMMYFUNCTION("""COMPUTED_VALUE"""),238.78500000000005)</f>
        <v>238.785</v>
      </c>
      <c r="G161" s="21">
        <f>IFERROR(__xludf.DUMMYFUNCTION("""COMPUTED_VALUE"""),269.33230490018144)</f>
        <v>269.3323049</v>
      </c>
    </row>
    <row r="162">
      <c r="A162" s="20">
        <f>IFERROR(__xludf.DUMMYFUNCTION("""COMPUTED_VALUE"""),44722.0)</f>
        <v>44722</v>
      </c>
      <c r="B162" s="21">
        <f>IFERROR(__xludf.DUMMYFUNCTION("""COMPUTED_VALUE"""),250.3456140350877)</f>
        <v>250.345614</v>
      </c>
      <c r="C162" s="22">
        <f>IFERROR(__xludf.DUMMYFUNCTION("""COMPUTED_VALUE"""),193.51666666666668)</f>
        <v>193.5166667</v>
      </c>
      <c r="D162" s="22">
        <f>IFERROR(__xludf.DUMMYFUNCTION("""COMPUTED_VALUE"""),348.23333333333335)</f>
        <v>348.2333333</v>
      </c>
      <c r="E162" s="21">
        <f>IFERROR(__xludf.DUMMYFUNCTION("""COMPUTED_VALUE"""),216.85601602873132)</f>
        <v>216.856016</v>
      </c>
      <c r="F162" s="21">
        <f>IFERROR(__xludf.DUMMYFUNCTION("""COMPUTED_VALUE"""),238.78500000000005)</f>
        <v>238.785</v>
      </c>
      <c r="G162" s="21">
        <f>IFERROR(__xludf.DUMMYFUNCTION("""COMPUTED_VALUE"""),269.33230490018144)</f>
        <v>269.3323049</v>
      </c>
    </row>
    <row r="163">
      <c r="A163" s="20">
        <f>IFERROR(__xludf.DUMMYFUNCTION("""COMPUTED_VALUE"""),44723.0)</f>
        <v>44723</v>
      </c>
      <c r="B163" s="21">
        <f>IFERROR(__xludf.DUMMYFUNCTION("""COMPUTED_VALUE"""),250.3456140350877)</f>
        <v>250.345614</v>
      </c>
      <c r="C163" s="22">
        <f>IFERROR(__xludf.DUMMYFUNCTION("""COMPUTED_VALUE"""),193.51666666666668)</f>
        <v>193.5166667</v>
      </c>
      <c r="D163" s="22">
        <f>IFERROR(__xludf.DUMMYFUNCTION("""COMPUTED_VALUE"""),348.23333333333335)</f>
        <v>348.2333333</v>
      </c>
      <c r="E163" s="21">
        <f>IFERROR(__xludf.DUMMYFUNCTION("""COMPUTED_VALUE"""),213.7741982428748)</f>
        <v>213.7741982</v>
      </c>
      <c r="F163" s="21">
        <f>IFERROR(__xludf.DUMMYFUNCTION("""COMPUTED_VALUE"""),238.78500000000003)</f>
        <v>238.785</v>
      </c>
      <c r="G163" s="21">
        <f>IFERROR(__xludf.DUMMYFUNCTION("""COMPUTED_VALUE"""),269.33230490018144)</f>
        <v>269.3323049</v>
      </c>
    </row>
    <row r="164">
      <c r="A164" s="20">
        <f>IFERROR(__xludf.DUMMYFUNCTION("""COMPUTED_VALUE"""),44724.0)</f>
        <v>44724</v>
      </c>
      <c r="B164" s="21">
        <f>IFERROR(__xludf.DUMMYFUNCTION("""COMPUTED_VALUE"""),250.3456140350877)</f>
        <v>250.345614</v>
      </c>
      <c r="C164" s="22">
        <f>IFERROR(__xludf.DUMMYFUNCTION("""COMPUTED_VALUE"""),193.51666666666668)</f>
        <v>193.5166667</v>
      </c>
      <c r="D164" s="22">
        <f>IFERROR(__xludf.DUMMYFUNCTION("""COMPUTED_VALUE"""),348.23333333333335)</f>
        <v>348.2333333</v>
      </c>
      <c r="E164" s="21">
        <f>IFERROR(__xludf.DUMMYFUNCTION("""COMPUTED_VALUE"""),195.9317492620887)</f>
        <v>195.9317493</v>
      </c>
      <c r="F164" s="21">
        <f>IFERROR(__xludf.DUMMYFUNCTION("""COMPUTED_VALUE"""),238.78500000000003)</f>
        <v>238.785</v>
      </c>
      <c r="G164" s="21">
        <f>IFERROR(__xludf.DUMMYFUNCTION("""COMPUTED_VALUE"""),269.33230490018144)</f>
        <v>269.3323049</v>
      </c>
    </row>
    <row r="165">
      <c r="A165" s="20">
        <f>IFERROR(__xludf.DUMMYFUNCTION("""COMPUTED_VALUE"""),44725.0)</f>
        <v>44725</v>
      </c>
      <c r="B165" s="21">
        <f>IFERROR(__xludf.DUMMYFUNCTION("""COMPUTED_VALUE"""),254.37719298245608)</f>
        <v>254.377193</v>
      </c>
      <c r="C165" s="22">
        <f>IFERROR(__xludf.DUMMYFUNCTION("""COMPUTED_VALUE"""),193.51666666666668)</f>
        <v>193.5166667</v>
      </c>
      <c r="D165" s="22">
        <f>IFERROR(__xludf.DUMMYFUNCTION("""COMPUTED_VALUE"""),351.65000000000003)</f>
        <v>351.65</v>
      </c>
      <c r="E165" s="21">
        <f>IFERROR(__xludf.DUMMYFUNCTION("""COMPUTED_VALUE"""),189.92313308270533)</f>
        <v>189.9231331</v>
      </c>
      <c r="F165" s="21">
        <f>IFERROR(__xludf.DUMMYFUNCTION("""COMPUTED_VALUE"""),238.29607142857145)</f>
        <v>238.2960714</v>
      </c>
      <c r="G165" s="21">
        <f>IFERROR(__xludf.DUMMYFUNCTION("""COMPUTED_VALUE"""),269.33230490018144)</f>
        <v>269.3323049</v>
      </c>
    </row>
    <row r="166">
      <c r="A166" s="23">
        <f>IFERROR(__xludf.DUMMYFUNCTION("""COMPUTED_VALUE"""),44726.0)</f>
        <v>44726</v>
      </c>
      <c r="B166" s="21">
        <f>IFERROR(__xludf.DUMMYFUNCTION("""COMPUTED_VALUE"""),254.37719298245608)</f>
        <v>254.377193</v>
      </c>
      <c r="C166" s="22">
        <f>IFERROR(__xludf.DUMMYFUNCTION("""COMPUTED_VALUE"""),193.51666666666668)</f>
        <v>193.5166667</v>
      </c>
      <c r="D166" s="22">
        <f>IFERROR(__xludf.DUMMYFUNCTION("""COMPUTED_VALUE"""),351.65000000000003)</f>
        <v>351.65</v>
      </c>
      <c r="E166" s="21">
        <f>IFERROR(__xludf.DUMMYFUNCTION("""COMPUTED_VALUE"""),188.0679489499662)</f>
        <v>188.0679489</v>
      </c>
      <c r="F166" s="21">
        <f>IFERROR(__xludf.DUMMYFUNCTION("""COMPUTED_VALUE"""),237.80714285714288)</f>
        <v>237.8071429</v>
      </c>
      <c r="G166" s="21">
        <f>IFERROR(__xludf.DUMMYFUNCTION("""COMPUTED_VALUE"""),269.33230490018144)</f>
        <v>269.3323049</v>
      </c>
    </row>
    <row r="167">
      <c r="A167" s="23">
        <f>IFERROR(__xludf.DUMMYFUNCTION("""COMPUTED_VALUE"""),44727.0)</f>
        <v>44727</v>
      </c>
      <c r="B167" s="21">
        <f>IFERROR(__xludf.DUMMYFUNCTION("""COMPUTED_VALUE"""),254.37719298245608)</f>
        <v>254.377193</v>
      </c>
      <c r="C167" s="22">
        <f>IFERROR(__xludf.DUMMYFUNCTION("""COMPUTED_VALUE"""),193.51666666666668)</f>
        <v>193.5166667</v>
      </c>
      <c r="D167" s="22">
        <f>IFERROR(__xludf.DUMMYFUNCTION("""COMPUTED_VALUE"""),351.65000000000003)</f>
        <v>351.65</v>
      </c>
      <c r="E167" s="21">
        <f>IFERROR(__xludf.DUMMYFUNCTION("""COMPUTED_VALUE"""),195.89942141755458)</f>
        <v>195.8994214</v>
      </c>
      <c r="F167" s="21">
        <f>IFERROR(__xludf.DUMMYFUNCTION("""COMPUTED_VALUE"""),237.31821428571428)</f>
        <v>237.3182143</v>
      </c>
      <c r="G167" s="21">
        <f>IFERROR(__xludf.DUMMYFUNCTION("""COMPUTED_VALUE"""),269.33230490018144)</f>
        <v>269.3323049</v>
      </c>
    </row>
    <row r="168">
      <c r="A168" s="23">
        <f>IFERROR(__xludf.DUMMYFUNCTION("""COMPUTED_VALUE"""),44728.0)</f>
        <v>44728</v>
      </c>
      <c r="B168" s="21">
        <f>IFERROR(__xludf.DUMMYFUNCTION("""COMPUTED_VALUE"""),254.37719298245608)</f>
        <v>254.377193</v>
      </c>
      <c r="C168" s="22">
        <f>IFERROR(__xludf.DUMMYFUNCTION("""COMPUTED_VALUE"""),193.51666666666668)</f>
        <v>193.5166667</v>
      </c>
      <c r="D168" s="22">
        <f>IFERROR(__xludf.DUMMYFUNCTION("""COMPUTED_VALUE"""),351.65000000000003)</f>
        <v>351.65</v>
      </c>
      <c r="E168" s="21">
        <f>IFERROR(__xludf.DUMMYFUNCTION("""COMPUTED_VALUE"""),205.22081222954066)</f>
        <v>205.2208122</v>
      </c>
      <c r="F168" s="21">
        <f>IFERROR(__xludf.DUMMYFUNCTION("""COMPUTED_VALUE"""),228.2407142857143)</f>
        <v>228.2407143</v>
      </c>
      <c r="G168" s="21">
        <f>IFERROR(__xludf.DUMMYFUNCTION("""COMPUTED_VALUE"""),269.33230490018144)</f>
        <v>269.3323049</v>
      </c>
    </row>
    <row r="169">
      <c r="A169" s="23">
        <f>IFERROR(__xludf.DUMMYFUNCTION("""COMPUTED_VALUE"""),44729.0)</f>
        <v>44729</v>
      </c>
      <c r="B169" s="21">
        <f>IFERROR(__xludf.DUMMYFUNCTION("""COMPUTED_VALUE"""),254.37719298245608)</f>
        <v>254.377193</v>
      </c>
      <c r="C169" s="22">
        <f>IFERROR(__xludf.DUMMYFUNCTION("""COMPUTED_VALUE"""),193.51666666666668)</f>
        <v>193.5166667</v>
      </c>
      <c r="D169" s="22">
        <f>IFERROR(__xludf.DUMMYFUNCTION("""COMPUTED_VALUE"""),351.65000000000003)</f>
        <v>351.65</v>
      </c>
      <c r="E169" s="21">
        <f>IFERROR(__xludf.DUMMYFUNCTION("""COMPUTED_VALUE"""),223.2933873510974)</f>
        <v>223.2933874</v>
      </c>
      <c r="F169" s="21">
        <f>IFERROR(__xludf.DUMMYFUNCTION("""COMPUTED_VALUE"""),219.1632142857143)</f>
        <v>219.1632143</v>
      </c>
      <c r="G169" s="21">
        <f>IFERROR(__xludf.DUMMYFUNCTION("""COMPUTED_VALUE"""),269.33230490018144)</f>
        <v>269.3323049</v>
      </c>
    </row>
    <row r="170">
      <c r="A170" s="23">
        <f>IFERROR(__xludf.DUMMYFUNCTION("""COMPUTED_VALUE"""),44730.0)</f>
        <v>44730</v>
      </c>
      <c r="B170" s="21">
        <f>IFERROR(__xludf.DUMMYFUNCTION("""COMPUTED_VALUE"""),254.37719298245608)</f>
        <v>254.377193</v>
      </c>
      <c r="C170" s="22">
        <f>IFERROR(__xludf.DUMMYFUNCTION("""COMPUTED_VALUE"""),193.51666666666668)</f>
        <v>193.5166667</v>
      </c>
      <c r="D170" s="22">
        <f>IFERROR(__xludf.DUMMYFUNCTION("""COMPUTED_VALUE"""),351.65000000000003)</f>
        <v>351.65</v>
      </c>
      <c r="E170" s="21">
        <f>IFERROR(__xludf.DUMMYFUNCTION("""COMPUTED_VALUE"""),238.3176788817152)</f>
        <v>238.3176789</v>
      </c>
      <c r="F170" s="21">
        <f>IFERROR(__xludf.DUMMYFUNCTION("""COMPUTED_VALUE"""),210.08571428571432)</f>
        <v>210.0857143</v>
      </c>
      <c r="G170" s="21">
        <f>IFERROR(__xludf.DUMMYFUNCTION("""COMPUTED_VALUE"""),269.33230490018144)</f>
        <v>269.3323049</v>
      </c>
    </row>
    <row r="171">
      <c r="A171" s="23">
        <f>IFERROR(__xludf.DUMMYFUNCTION("""COMPUTED_VALUE"""),44731.0)</f>
        <v>44731</v>
      </c>
      <c r="B171" s="21">
        <f>IFERROR(__xludf.DUMMYFUNCTION("""COMPUTED_VALUE"""),254.37719298245608)</f>
        <v>254.377193</v>
      </c>
      <c r="C171" s="22">
        <f>IFERROR(__xludf.DUMMYFUNCTION("""COMPUTED_VALUE"""),193.51666666666668)</f>
        <v>193.5166667</v>
      </c>
      <c r="D171" s="22">
        <f>IFERROR(__xludf.DUMMYFUNCTION("""COMPUTED_VALUE"""),351.65000000000003)</f>
        <v>351.65</v>
      </c>
      <c r="E171" s="21">
        <f>IFERROR(__xludf.DUMMYFUNCTION("""COMPUTED_VALUE"""),263.74720863741805)</f>
        <v>263.7472086</v>
      </c>
      <c r="F171" s="21">
        <f>IFERROR(__xludf.DUMMYFUNCTION("""COMPUTED_VALUE"""),201.00821428571433)</f>
        <v>201.0082143</v>
      </c>
      <c r="G171" s="21">
        <f>IFERROR(__xludf.DUMMYFUNCTION("""COMPUTED_VALUE"""),269.33230490018144)</f>
        <v>269.3323049</v>
      </c>
    </row>
    <row r="172">
      <c r="A172" s="23">
        <f>IFERROR(__xludf.DUMMYFUNCTION("""COMPUTED_VALUE"""),44732.0)</f>
        <v>44732</v>
      </c>
      <c r="B172" s="21">
        <f>IFERROR(__xludf.DUMMYFUNCTION("""COMPUTED_VALUE"""),258.6183333333333)</f>
        <v>258.6183333</v>
      </c>
      <c r="C172" s="22">
        <f>IFERROR(__xludf.DUMMYFUNCTION("""COMPUTED_VALUE"""),193.51666666666668)</f>
        <v>193.5166667</v>
      </c>
      <c r="D172" s="22">
        <f>IFERROR(__xludf.DUMMYFUNCTION("""COMPUTED_VALUE"""),351.65000000000003)</f>
        <v>351.65</v>
      </c>
      <c r="E172" s="21">
        <f>IFERROR(__xludf.DUMMYFUNCTION("""COMPUTED_VALUE"""),278.03964305293704)</f>
        <v>278.0396431</v>
      </c>
      <c r="F172" s="21">
        <f>IFERROR(__xludf.DUMMYFUNCTION("""COMPUTED_VALUE"""),195.5146428571429)</f>
        <v>195.5146429</v>
      </c>
      <c r="G172" s="21">
        <f>IFERROR(__xludf.DUMMYFUNCTION("""COMPUTED_VALUE"""),269.33230490018144)</f>
        <v>269.3323049</v>
      </c>
    </row>
    <row r="173">
      <c r="A173" s="23">
        <f>IFERROR(__xludf.DUMMYFUNCTION("""COMPUTED_VALUE"""),44733.0)</f>
        <v>44733</v>
      </c>
      <c r="B173" s="21">
        <f>IFERROR(__xludf.DUMMYFUNCTION("""COMPUTED_VALUE"""),258.6183333333333)</f>
        <v>258.6183333</v>
      </c>
      <c r="C173" s="22">
        <f>IFERROR(__xludf.DUMMYFUNCTION("""COMPUTED_VALUE"""),193.51666666666668)</f>
        <v>193.5166667</v>
      </c>
      <c r="D173" s="22">
        <f>IFERROR(__xludf.DUMMYFUNCTION("""COMPUTED_VALUE"""),351.65000000000003)</f>
        <v>351.65</v>
      </c>
      <c r="E173" s="21">
        <f>IFERROR(__xludf.DUMMYFUNCTION("""COMPUTED_VALUE"""),296.6677036612544)</f>
        <v>296.6677037</v>
      </c>
      <c r="F173" s="21">
        <f>IFERROR(__xludf.DUMMYFUNCTION("""COMPUTED_VALUE"""),190.02107142857147)</f>
        <v>190.0210714</v>
      </c>
      <c r="G173" s="21">
        <f>IFERROR(__xludf.DUMMYFUNCTION("""COMPUTED_VALUE"""),269.33230490018144)</f>
        <v>269.3323049</v>
      </c>
    </row>
    <row r="174">
      <c r="A174" s="23">
        <f>IFERROR(__xludf.DUMMYFUNCTION("""COMPUTED_VALUE"""),44734.0)</f>
        <v>44734</v>
      </c>
      <c r="B174" s="21">
        <f>IFERROR(__xludf.DUMMYFUNCTION("""COMPUTED_VALUE"""),258.6183333333333)</f>
        <v>258.6183333</v>
      </c>
      <c r="C174" s="22">
        <f>IFERROR(__xludf.DUMMYFUNCTION("""COMPUTED_VALUE"""),193.51666666666668)</f>
        <v>193.5166667</v>
      </c>
      <c r="D174" s="22">
        <f>IFERROR(__xludf.DUMMYFUNCTION("""COMPUTED_VALUE"""),351.65000000000003)</f>
        <v>351.65</v>
      </c>
      <c r="E174" s="21">
        <f>IFERROR(__xludf.DUMMYFUNCTION("""COMPUTED_VALUE"""),314.1170518068863)</f>
        <v>314.1170518</v>
      </c>
      <c r="F174" s="21">
        <f>IFERROR(__xludf.DUMMYFUNCTION("""COMPUTED_VALUE"""),184.5275)</f>
        <v>184.5275</v>
      </c>
      <c r="G174" s="21">
        <f>IFERROR(__xludf.DUMMYFUNCTION("""COMPUTED_VALUE"""),269.33230490018144)</f>
        <v>269.3323049</v>
      </c>
    </row>
    <row r="175">
      <c r="A175" s="23">
        <f>IFERROR(__xludf.DUMMYFUNCTION("""COMPUTED_VALUE"""),44735.0)</f>
        <v>44735</v>
      </c>
      <c r="B175" s="21">
        <f>IFERROR(__xludf.DUMMYFUNCTION("""COMPUTED_VALUE"""),258.6183333333333)</f>
        <v>258.6183333</v>
      </c>
      <c r="C175" s="22">
        <f>IFERROR(__xludf.DUMMYFUNCTION("""COMPUTED_VALUE"""),193.51666666666668)</f>
        <v>193.5166667</v>
      </c>
      <c r="D175" s="22">
        <f>IFERROR(__xludf.DUMMYFUNCTION("""COMPUTED_VALUE"""),351.65000000000003)</f>
        <v>351.65</v>
      </c>
      <c r="E175" s="21">
        <f>IFERROR(__xludf.DUMMYFUNCTION("""COMPUTED_VALUE"""),327.07507741606196)</f>
        <v>327.0750774</v>
      </c>
      <c r="F175" s="21">
        <f>IFERROR(__xludf.DUMMYFUNCTION("""COMPUTED_VALUE"""),187.6225)</f>
        <v>187.6225</v>
      </c>
      <c r="G175" s="21">
        <f>IFERROR(__xludf.DUMMYFUNCTION("""COMPUTED_VALUE"""),269.33230490018144)</f>
        <v>269.3323049</v>
      </c>
    </row>
    <row r="176">
      <c r="A176" s="23">
        <f>IFERROR(__xludf.DUMMYFUNCTION("""COMPUTED_VALUE"""),44736.0)</f>
        <v>44736</v>
      </c>
      <c r="B176" s="21">
        <f>IFERROR(__xludf.DUMMYFUNCTION("""COMPUTED_VALUE"""),258.6183333333333)</f>
        <v>258.6183333</v>
      </c>
      <c r="C176" s="22">
        <f>IFERROR(__xludf.DUMMYFUNCTION("""COMPUTED_VALUE"""),193.51666666666668)</f>
        <v>193.5166667</v>
      </c>
      <c r="D176" s="22">
        <f>IFERROR(__xludf.DUMMYFUNCTION("""COMPUTED_VALUE"""),351.65000000000003)</f>
        <v>351.65</v>
      </c>
      <c r="E176" s="21">
        <f>IFERROR(__xludf.DUMMYFUNCTION("""COMPUTED_VALUE"""),325.53065338342986)</f>
        <v>325.5306534</v>
      </c>
      <c r="F176" s="21">
        <f>IFERROR(__xludf.DUMMYFUNCTION("""COMPUTED_VALUE"""),190.7175)</f>
        <v>190.7175</v>
      </c>
      <c r="G176" s="21">
        <f>IFERROR(__xludf.DUMMYFUNCTION("""COMPUTED_VALUE"""),269.33230490018144)</f>
        <v>269.3323049</v>
      </c>
    </row>
    <row r="177">
      <c r="A177" s="23">
        <f>IFERROR(__xludf.DUMMYFUNCTION("""COMPUTED_VALUE"""),44737.0)</f>
        <v>44737</v>
      </c>
      <c r="B177" s="21">
        <f>IFERROR(__xludf.DUMMYFUNCTION("""COMPUTED_VALUE"""),258.6183333333333)</f>
        <v>258.6183333</v>
      </c>
      <c r="C177" s="22">
        <f>IFERROR(__xludf.DUMMYFUNCTION("""COMPUTED_VALUE"""),193.51666666666668)</f>
        <v>193.5166667</v>
      </c>
      <c r="D177" s="22">
        <f>IFERROR(__xludf.DUMMYFUNCTION("""COMPUTED_VALUE"""),351.65000000000003)</f>
        <v>351.65</v>
      </c>
      <c r="E177" s="21">
        <f>IFERROR(__xludf.DUMMYFUNCTION("""COMPUTED_VALUE"""),327.1870194061795)</f>
        <v>327.1870194</v>
      </c>
      <c r="F177" s="21">
        <f>IFERROR(__xludf.DUMMYFUNCTION("""COMPUTED_VALUE"""),193.8125)</f>
        <v>193.8125</v>
      </c>
      <c r="G177" s="21">
        <f>IFERROR(__xludf.DUMMYFUNCTION("""COMPUTED_VALUE"""),269.33230490018144)</f>
        <v>269.3323049</v>
      </c>
    </row>
    <row r="178">
      <c r="A178" s="23">
        <f>IFERROR(__xludf.DUMMYFUNCTION("""COMPUTED_VALUE"""),44738.0)</f>
        <v>44738</v>
      </c>
      <c r="B178" s="21">
        <f>IFERROR(__xludf.DUMMYFUNCTION("""COMPUTED_VALUE"""),258.6183333333333)</f>
        <v>258.6183333</v>
      </c>
      <c r="C178" s="22">
        <f>IFERROR(__xludf.DUMMYFUNCTION("""COMPUTED_VALUE"""),193.51666666666668)</f>
        <v>193.5166667</v>
      </c>
      <c r="D178" s="22">
        <f>IFERROR(__xludf.DUMMYFUNCTION("""COMPUTED_VALUE"""),351.65000000000003)</f>
        <v>351.65</v>
      </c>
      <c r="E178" s="21">
        <f>IFERROR(__xludf.DUMMYFUNCTION("""COMPUTED_VALUE"""),331.54897448058745)</f>
        <v>331.5489745</v>
      </c>
      <c r="F178" s="21">
        <f>IFERROR(__xludf.DUMMYFUNCTION("""COMPUTED_VALUE"""),196.90750000000003)</f>
        <v>196.9075</v>
      </c>
      <c r="G178" s="21">
        <f>IFERROR(__xludf.DUMMYFUNCTION("""COMPUTED_VALUE"""),269.33230490018144)</f>
        <v>269.3323049</v>
      </c>
    </row>
    <row r="179">
      <c r="A179" s="23">
        <f>IFERROR(__xludf.DUMMYFUNCTION("""COMPUTED_VALUE"""),44739.0)</f>
        <v>44739</v>
      </c>
      <c r="B179" s="21">
        <f>IFERROR(__xludf.DUMMYFUNCTION("""COMPUTED_VALUE"""),262.2833333333333)</f>
        <v>262.2833333</v>
      </c>
      <c r="C179" s="22">
        <f>IFERROR(__xludf.DUMMYFUNCTION("""COMPUTED_VALUE"""),193.51666666666668)</f>
        <v>193.5166667</v>
      </c>
      <c r="D179" s="22">
        <f>IFERROR(__xludf.DUMMYFUNCTION("""COMPUTED_VALUE"""),351.65000000000003)</f>
        <v>351.65</v>
      </c>
      <c r="E179" s="21">
        <f>IFERROR(__xludf.DUMMYFUNCTION("""COMPUTED_VALUE"""),337.5447914753192)</f>
        <v>337.5447915</v>
      </c>
      <c r="F179" s="21">
        <f>IFERROR(__xludf.DUMMYFUNCTION("""COMPUTED_VALUE"""),199.72071428571425)</f>
        <v>199.7207143</v>
      </c>
      <c r="G179" s="21">
        <f>IFERROR(__xludf.DUMMYFUNCTION("""COMPUTED_VALUE"""),269.33230490018144)</f>
        <v>269.3323049</v>
      </c>
    </row>
    <row r="180">
      <c r="A180" s="23">
        <f>IFERROR(__xludf.DUMMYFUNCTION("""COMPUTED_VALUE"""),44740.0)</f>
        <v>44740</v>
      </c>
      <c r="B180" s="21">
        <f>IFERROR(__xludf.DUMMYFUNCTION("""COMPUTED_VALUE"""),262.2833333333333)</f>
        <v>262.2833333</v>
      </c>
      <c r="C180" s="22">
        <f>IFERROR(__xludf.DUMMYFUNCTION("""COMPUTED_VALUE"""),193.51666666666668)</f>
        <v>193.5166667</v>
      </c>
      <c r="D180" s="22">
        <f>IFERROR(__xludf.DUMMYFUNCTION("""COMPUTED_VALUE"""),351.65000000000003)</f>
        <v>351.65</v>
      </c>
      <c r="E180" s="21">
        <f>IFERROR(__xludf.DUMMYFUNCTION("""COMPUTED_VALUE"""),343.96653675059093)</f>
        <v>343.9665368</v>
      </c>
      <c r="F180" s="21">
        <f>IFERROR(__xludf.DUMMYFUNCTION("""COMPUTED_VALUE"""),202.53392857142856)</f>
        <v>202.5339286</v>
      </c>
      <c r="G180" s="21">
        <f>IFERROR(__xludf.DUMMYFUNCTION("""COMPUTED_VALUE"""),269.33230490018144)</f>
        <v>269.3323049</v>
      </c>
    </row>
    <row r="181">
      <c r="A181" s="23">
        <f>IFERROR(__xludf.DUMMYFUNCTION("""COMPUTED_VALUE"""),44741.0)</f>
        <v>44741</v>
      </c>
      <c r="B181" s="21">
        <f>IFERROR(__xludf.DUMMYFUNCTION("""COMPUTED_VALUE"""),262.2833333333333)</f>
        <v>262.2833333</v>
      </c>
      <c r="C181" s="22">
        <f>IFERROR(__xludf.DUMMYFUNCTION("""COMPUTED_VALUE"""),193.51666666666668)</f>
        <v>193.5166667</v>
      </c>
      <c r="D181" s="22">
        <f>IFERROR(__xludf.DUMMYFUNCTION("""COMPUTED_VALUE"""),351.65000000000003)</f>
        <v>351.65</v>
      </c>
      <c r="E181" s="21">
        <f>IFERROR(__xludf.DUMMYFUNCTION("""COMPUTED_VALUE"""),338.7852888515928)</f>
        <v>338.7852889</v>
      </c>
      <c r="F181" s="21">
        <f>IFERROR(__xludf.DUMMYFUNCTION("""COMPUTED_VALUE"""),213.00285714285715)</f>
        <v>213.0028571</v>
      </c>
      <c r="G181" s="21">
        <f>IFERROR(__xludf.DUMMYFUNCTION("""COMPUTED_VALUE"""),269.33230490018144)</f>
        <v>269.3323049</v>
      </c>
    </row>
    <row r="182">
      <c r="A182" s="23">
        <f>IFERROR(__xludf.DUMMYFUNCTION("""COMPUTED_VALUE"""),44742.0)</f>
        <v>44742</v>
      </c>
      <c r="B182" s="21">
        <f>IFERROR(__xludf.DUMMYFUNCTION("""COMPUTED_VALUE"""),262.2833333333333)</f>
        <v>262.2833333</v>
      </c>
      <c r="C182" s="22">
        <f>IFERROR(__xludf.DUMMYFUNCTION("""COMPUTED_VALUE"""),193.51666666666668)</f>
        <v>193.5166667</v>
      </c>
      <c r="D182" s="22">
        <f>IFERROR(__xludf.DUMMYFUNCTION("""COMPUTED_VALUE"""),351.65000000000003)</f>
        <v>351.65</v>
      </c>
      <c r="E182" s="21">
        <f>IFERROR(__xludf.DUMMYFUNCTION("""COMPUTED_VALUE"""),338.6560519782308)</f>
        <v>338.656052</v>
      </c>
      <c r="F182" s="21">
        <f>IFERROR(__xludf.DUMMYFUNCTION("""COMPUTED_VALUE"""),223.4717857142857)</f>
        <v>223.4717857</v>
      </c>
      <c r="G182" s="21">
        <f>IFERROR(__xludf.DUMMYFUNCTION("""COMPUTED_VALUE"""),269.33230490018144)</f>
        <v>269.3323049</v>
      </c>
    </row>
    <row r="183">
      <c r="A183" s="23">
        <f>IFERROR(__xludf.DUMMYFUNCTION("""COMPUTED_VALUE"""),44743.0)</f>
        <v>44743</v>
      </c>
      <c r="B183" s="21">
        <f>IFERROR(__xludf.DUMMYFUNCTION("""COMPUTED_VALUE"""),262.2833333333333)</f>
        <v>262.2833333</v>
      </c>
      <c r="C183" s="22">
        <f>IFERROR(__xludf.DUMMYFUNCTION("""COMPUTED_VALUE"""),193.51666666666668)</f>
        <v>193.5166667</v>
      </c>
      <c r="D183" s="22">
        <f>IFERROR(__xludf.DUMMYFUNCTION("""COMPUTED_VALUE"""),351.65000000000003)</f>
        <v>351.65</v>
      </c>
      <c r="E183" s="21">
        <f>IFERROR(__xludf.DUMMYFUNCTION("""COMPUTED_VALUE"""),346.2818181393186)</f>
        <v>346.2818181</v>
      </c>
      <c r="F183" s="21">
        <f>IFERROR(__xludf.DUMMYFUNCTION("""COMPUTED_VALUE"""),233.94071428571428)</f>
        <v>233.9407143</v>
      </c>
      <c r="G183" s="21">
        <f>IFERROR(__xludf.DUMMYFUNCTION("""COMPUTED_VALUE"""),266.623557168784)</f>
        <v>266.6235572</v>
      </c>
    </row>
    <row r="184">
      <c r="A184" s="20">
        <f>IFERROR(__xludf.DUMMYFUNCTION("""COMPUTED_VALUE"""),44744.0)</f>
        <v>44744</v>
      </c>
      <c r="B184" s="21">
        <f>IFERROR(__xludf.DUMMYFUNCTION("""COMPUTED_VALUE"""),262.2833333333333)</f>
        <v>262.2833333</v>
      </c>
      <c r="C184" s="22">
        <f>IFERROR(__xludf.DUMMYFUNCTION("""COMPUTED_VALUE"""),193.51666666666668)</f>
        <v>193.5166667</v>
      </c>
      <c r="D184" s="22">
        <f>IFERROR(__xludf.DUMMYFUNCTION("""COMPUTED_VALUE"""),351.65000000000003)</f>
        <v>351.65</v>
      </c>
      <c r="E184" s="21">
        <f>IFERROR(__xludf.DUMMYFUNCTION("""COMPUTED_VALUE"""),353.36936523303837)</f>
        <v>353.3693652</v>
      </c>
      <c r="F184" s="21">
        <f>IFERROR(__xludf.DUMMYFUNCTION("""COMPUTED_VALUE"""),244.40964285714287)</f>
        <v>244.4096429</v>
      </c>
      <c r="G184" s="21">
        <f>IFERROR(__xludf.DUMMYFUNCTION("""COMPUTED_VALUE"""),266.623557168784)</f>
        <v>266.6235572</v>
      </c>
    </row>
    <row r="185">
      <c r="A185" s="20">
        <f>IFERROR(__xludf.DUMMYFUNCTION("""COMPUTED_VALUE"""),44745.0)</f>
        <v>44745</v>
      </c>
      <c r="B185" s="21">
        <f>IFERROR(__xludf.DUMMYFUNCTION("""COMPUTED_VALUE"""),262.2833333333333)</f>
        <v>262.2833333</v>
      </c>
      <c r="C185" s="22">
        <f>IFERROR(__xludf.DUMMYFUNCTION("""COMPUTED_VALUE"""),193.51666666666668)</f>
        <v>193.5166667</v>
      </c>
      <c r="D185" s="22">
        <f>IFERROR(__xludf.DUMMYFUNCTION("""COMPUTED_VALUE"""),351.65000000000003)</f>
        <v>351.65</v>
      </c>
      <c r="E185" s="21">
        <f>IFERROR(__xludf.DUMMYFUNCTION("""COMPUTED_VALUE"""),365.8868428371555)</f>
        <v>365.8868428</v>
      </c>
      <c r="F185" s="21">
        <f>IFERROR(__xludf.DUMMYFUNCTION("""COMPUTED_VALUE"""),254.87857142857143)</f>
        <v>254.8785714</v>
      </c>
      <c r="G185" s="21">
        <f>IFERROR(__xludf.DUMMYFUNCTION("""COMPUTED_VALUE"""),266.623557168784)</f>
        <v>266.6235572</v>
      </c>
    </row>
    <row r="186">
      <c r="A186" s="20">
        <f>IFERROR(__xludf.DUMMYFUNCTION("""COMPUTED_VALUE"""),44746.0)</f>
        <v>44746</v>
      </c>
      <c r="B186" s="21">
        <f>IFERROR(__xludf.DUMMYFUNCTION("""COMPUTED_VALUE"""),270.67592592592587)</f>
        <v>270.6759259</v>
      </c>
      <c r="C186" s="22">
        <f>IFERROR(__xludf.DUMMYFUNCTION("""COMPUTED_VALUE"""),208.11666666666667)</f>
        <v>208.1166667</v>
      </c>
      <c r="D186" s="22">
        <f>IFERROR(__xludf.DUMMYFUNCTION("""COMPUTED_VALUE"""),397.0)</f>
        <v>397</v>
      </c>
      <c r="E186" s="21">
        <f>IFERROR(__xludf.DUMMYFUNCTION("""COMPUTED_VALUE"""),372.0172816461697)</f>
        <v>372.0172816</v>
      </c>
      <c r="F186" s="21">
        <f>IFERROR(__xludf.DUMMYFUNCTION("""COMPUTED_VALUE"""),266.01142857142855)</f>
        <v>266.0114286</v>
      </c>
      <c r="G186" s="21">
        <f>IFERROR(__xludf.DUMMYFUNCTION("""COMPUTED_VALUE"""),266.623557168784)</f>
        <v>266.6235572</v>
      </c>
    </row>
    <row r="187">
      <c r="A187" s="20">
        <f>IFERROR(__xludf.DUMMYFUNCTION("""COMPUTED_VALUE"""),44747.0)</f>
        <v>44747</v>
      </c>
      <c r="B187" s="21">
        <f>IFERROR(__xludf.DUMMYFUNCTION("""COMPUTED_VALUE"""),270.67592592592587)</f>
        <v>270.6759259</v>
      </c>
      <c r="C187" s="22">
        <f>IFERROR(__xludf.DUMMYFUNCTION("""COMPUTED_VALUE"""),208.11666666666667)</f>
        <v>208.1166667</v>
      </c>
      <c r="D187" s="22">
        <f>IFERROR(__xludf.DUMMYFUNCTION("""COMPUTED_VALUE"""),397.0)</f>
        <v>397</v>
      </c>
      <c r="E187" s="21">
        <f>IFERROR(__xludf.DUMMYFUNCTION("""COMPUTED_VALUE"""),376.0370121408476)</f>
        <v>376.0370121</v>
      </c>
      <c r="F187" s="21">
        <f>IFERROR(__xludf.DUMMYFUNCTION("""COMPUTED_VALUE"""),277.14428571428573)</f>
        <v>277.1442857</v>
      </c>
      <c r="G187" s="21">
        <f>IFERROR(__xludf.DUMMYFUNCTION("""COMPUTED_VALUE"""),266.623557168784)</f>
        <v>266.6235572</v>
      </c>
    </row>
    <row r="188">
      <c r="A188" s="20">
        <f>IFERROR(__xludf.DUMMYFUNCTION("""COMPUTED_VALUE"""),44748.0)</f>
        <v>44748</v>
      </c>
      <c r="B188" s="21">
        <f>IFERROR(__xludf.DUMMYFUNCTION("""COMPUTED_VALUE"""),270.67592592592587)</f>
        <v>270.6759259</v>
      </c>
      <c r="C188" s="22">
        <f>IFERROR(__xludf.DUMMYFUNCTION("""COMPUTED_VALUE"""),208.11666666666667)</f>
        <v>208.1166667</v>
      </c>
      <c r="D188" s="22">
        <f>IFERROR(__xludf.DUMMYFUNCTION("""COMPUTED_VALUE"""),397.0)</f>
        <v>397</v>
      </c>
      <c r="E188" s="21">
        <f>IFERROR(__xludf.DUMMYFUNCTION("""COMPUTED_VALUE"""),389.3542858134042)</f>
        <v>389.3542858</v>
      </c>
      <c r="F188" s="21">
        <f>IFERROR(__xludf.DUMMYFUNCTION("""COMPUTED_VALUE"""),280.62142857142857)</f>
        <v>280.6214286</v>
      </c>
      <c r="G188" s="21">
        <f>IFERROR(__xludf.DUMMYFUNCTION("""COMPUTED_VALUE"""),266.623557168784)</f>
        <v>266.6235572</v>
      </c>
    </row>
    <row r="189">
      <c r="A189" s="20">
        <f>IFERROR(__xludf.DUMMYFUNCTION("""COMPUTED_VALUE"""),44749.0)</f>
        <v>44749</v>
      </c>
      <c r="B189" s="21">
        <f>IFERROR(__xludf.DUMMYFUNCTION("""COMPUTED_VALUE"""),270.67592592592587)</f>
        <v>270.6759259</v>
      </c>
      <c r="C189" s="22">
        <f>IFERROR(__xludf.DUMMYFUNCTION("""COMPUTED_VALUE"""),208.11666666666667)</f>
        <v>208.1166667</v>
      </c>
      <c r="D189" s="22">
        <f>IFERROR(__xludf.DUMMYFUNCTION("""COMPUTED_VALUE"""),397.0)</f>
        <v>397</v>
      </c>
      <c r="E189" s="21">
        <f>IFERROR(__xludf.DUMMYFUNCTION("""COMPUTED_VALUE"""),395.9436707666083)</f>
        <v>395.9436708</v>
      </c>
      <c r="F189" s="21">
        <f>IFERROR(__xludf.DUMMYFUNCTION("""COMPUTED_VALUE"""),284.0985714285714)</f>
        <v>284.0985714</v>
      </c>
      <c r="G189" s="21">
        <f>IFERROR(__xludf.DUMMYFUNCTION("""COMPUTED_VALUE"""),266.623557168784)</f>
        <v>266.6235572</v>
      </c>
    </row>
    <row r="190">
      <c r="A190" s="20">
        <f>IFERROR(__xludf.DUMMYFUNCTION("""COMPUTED_VALUE"""),44750.0)</f>
        <v>44750</v>
      </c>
      <c r="B190" s="21">
        <f>IFERROR(__xludf.DUMMYFUNCTION("""COMPUTED_VALUE"""),270.67592592592587)</f>
        <v>270.6759259</v>
      </c>
      <c r="C190" s="22">
        <f>IFERROR(__xludf.DUMMYFUNCTION("""COMPUTED_VALUE"""),208.11666666666667)</f>
        <v>208.1166667</v>
      </c>
      <c r="D190" s="22">
        <f>IFERROR(__xludf.DUMMYFUNCTION("""COMPUTED_VALUE"""),397.0)</f>
        <v>397</v>
      </c>
      <c r="E190" s="21">
        <f>IFERROR(__xludf.DUMMYFUNCTION("""COMPUTED_VALUE"""),403.32241902046326)</f>
        <v>403.322419</v>
      </c>
      <c r="F190" s="21">
        <f>IFERROR(__xludf.DUMMYFUNCTION("""COMPUTED_VALUE"""),287.5757142857143)</f>
        <v>287.5757143</v>
      </c>
      <c r="G190" s="21">
        <f>IFERROR(__xludf.DUMMYFUNCTION("""COMPUTED_VALUE"""),266.623557168784)</f>
        <v>266.6235572</v>
      </c>
    </row>
    <row r="191">
      <c r="A191" s="20">
        <f>IFERROR(__xludf.DUMMYFUNCTION("""COMPUTED_VALUE"""),44751.0)</f>
        <v>44751</v>
      </c>
      <c r="B191" s="21">
        <f>IFERROR(__xludf.DUMMYFUNCTION("""COMPUTED_VALUE"""),270.67592592592587)</f>
        <v>270.6759259</v>
      </c>
      <c r="C191" s="22">
        <f>IFERROR(__xludf.DUMMYFUNCTION("""COMPUTED_VALUE"""),208.11666666666667)</f>
        <v>208.1166667</v>
      </c>
      <c r="D191" s="22">
        <f>IFERROR(__xludf.DUMMYFUNCTION("""COMPUTED_VALUE"""),397.0)</f>
        <v>397</v>
      </c>
      <c r="E191" s="21">
        <f>IFERROR(__xludf.DUMMYFUNCTION("""COMPUTED_VALUE"""),405.32284447063927)</f>
        <v>405.3228445</v>
      </c>
      <c r="F191" s="21">
        <f>IFERROR(__xludf.DUMMYFUNCTION("""COMPUTED_VALUE"""),291.05285714285714)</f>
        <v>291.0528571</v>
      </c>
      <c r="G191" s="21">
        <f>IFERROR(__xludf.DUMMYFUNCTION("""COMPUTED_VALUE"""),266.623557168784)</f>
        <v>266.6235572</v>
      </c>
    </row>
    <row r="192">
      <c r="A192" s="20">
        <f>IFERROR(__xludf.DUMMYFUNCTION("""COMPUTED_VALUE"""),44752.0)</f>
        <v>44752</v>
      </c>
      <c r="B192" s="21">
        <f>IFERROR(__xludf.DUMMYFUNCTION("""COMPUTED_VALUE"""),270.67592592592587)</f>
        <v>270.6759259</v>
      </c>
      <c r="C192" s="22">
        <f>IFERROR(__xludf.DUMMYFUNCTION("""COMPUTED_VALUE"""),208.11666666666667)</f>
        <v>208.1166667</v>
      </c>
      <c r="D192" s="22">
        <f>IFERROR(__xludf.DUMMYFUNCTION("""COMPUTED_VALUE"""),397.0)</f>
        <v>397</v>
      </c>
      <c r="E192" s="21">
        <f>IFERROR(__xludf.DUMMYFUNCTION("""COMPUTED_VALUE"""),398.0970928035282)</f>
        <v>398.0970928</v>
      </c>
      <c r="F192" s="21">
        <f>IFERROR(__xludf.DUMMYFUNCTION("""COMPUTED_VALUE"""),294.53000000000003)</f>
        <v>294.53</v>
      </c>
      <c r="G192" s="21">
        <f>IFERROR(__xludf.DUMMYFUNCTION("""COMPUTED_VALUE"""),266.623557168784)</f>
        <v>266.6235572</v>
      </c>
    </row>
    <row r="193">
      <c r="A193" s="20">
        <f>IFERROR(__xludf.DUMMYFUNCTION("""COMPUTED_VALUE"""),44753.0)</f>
        <v>44753</v>
      </c>
      <c r="B193" s="21">
        <f>IFERROR(__xludf.DUMMYFUNCTION("""COMPUTED_VALUE"""),295.0133333333333)</f>
        <v>295.0133333</v>
      </c>
      <c r="C193" s="22">
        <f>IFERROR(__xludf.DUMMYFUNCTION("""COMPUTED_VALUE"""),212.76666666666665)</f>
        <v>212.7666667</v>
      </c>
      <c r="D193" s="22">
        <f>IFERROR(__xludf.DUMMYFUNCTION("""COMPUTED_VALUE"""),436.3)</f>
        <v>436.3</v>
      </c>
      <c r="E193" s="21">
        <f>IFERROR(__xludf.DUMMYFUNCTION("""COMPUTED_VALUE"""),401.3565840279128)</f>
        <v>401.356584</v>
      </c>
      <c r="F193" s="21">
        <f>IFERROR(__xludf.DUMMYFUNCTION("""COMPUTED_VALUE"""),302.9453571428572)</f>
        <v>302.9453571</v>
      </c>
      <c r="G193" s="21">
        <f>IFERROR(__xludf.DUMMYFUNCTION("""COMPUTED_VALUE"""),266.623557168784)</f>
        <v>266.6235572</v>
      </c>
    </row>
    <row r="194">
      <c r="A194" s="20">
        <f>IFERROR(__xludf.DUMMYFUNCTION("""COMPUTED_VALUE"""),44754.0)</f>
        <v>44754</v>
      </c>
      <c r="B194" s="21">
        <f>IFERROR(__xludf.DUMMYFUNCTION("""COMPUTED_VALUE"""),295.0133333333333)</f>
        <v>295.0133333</v>
      </c>
      <c r="C194" s="22">
        <f>IFERROR(__xludf.DUMMYFUNCTION("""COMPUTED_VALUE"""),212.76666666666665)</f>
        <v>212.7666667</v>
      </c>
      <c r="D194" s="22">
        <f>IFERROR(__xludf.DUMMYFUNCTION("""COMPUTED_VALUE"""),436.3)</f>
        <v>436.3</v>
      </c>
      <c r="E194" s="21">
        <f>IFERROR(__xludf.DUMMYFUNCTION("""COMPUTED_VALUE"""),374.3538158027084)</f>
        <v>374.3538158</v>
      </c>
      <c r="F194" s="21">
        <f>IFERROR(__xludf.DUMMYFUNCTION("""COMPUTED_VALUE"""),311.3607142857142)</f>
        <v>311.3607143</v>
      </c>
      <c r="G194" s="21">
        <f>IFERROR(__xludf.DUMMYFUNCTION("""COMPUTED_VALUE"""),266.623557168784)</f>
        <v>266.6235572</v>
      </c>
    </row>
    <row r="195">
      <c r="A195" s="20">
        <f>IFERROR(__xludf.DUMMYFUNCTION("""COMPUTED_VALUE"""),44755.0)</f>
        <v>44755</v>
      </c>
      <c r="B195" s="21">
        <f>IFERROR(__xludf.DUMMYFUNCTION("""COMPUTED_VALUE"""),295.0133333333333)</f>
        <v>295.0133333</v>
      </c>
      <c r="C195" s="22">
        <f>IFERROR(__xludf.DUMMYFUNCTION("""COMPUTED_VALUE"""),212.76666666666665)</f>
        <v>212.7666667</v>
      </c>
      <c r="D195" s="22">
        <f>IFERROR(__xludf.DUMMYFUNCTION("""COMPUTED_VALUE"""),436.3)</f>
        <v>436.3</v>
      </c>
      <c r="E195" s="21">
        <f>IFERROR(__xludf.DUMMYFUNCTION("""COMPUTED_VALUE"""),376.0414184937446)</f>
        <v>376.0414185</v>
      </c>
      <c r="F195" s="21">
        <f>IFERROR(__xludf.DUMMYFUNCTION("""COMPUTED_VALUE"""),319.7760714285714)</f>
        <v>319.7760714</v>
      </c>
      <c r="G195" s="21">
        <f>IFERROR(__xludf.DUMMYFUNCTION("""COMPUTED_VALUE"""),266.623557168784)</f>
        <v>266.6235572</v>
      </c>
    </row>
    <row r="196">
      <c r="A196" s="23">
        <f>IFERROR(__xludf.DUMMYFUNCTION("""COMPUTED_VALUE"""),44756.0)</f>
        <v>44756</v>
      </c>
      <c r="B196" s="21">
        <f>IFERROR(__xludf.DUMMYFUNCTION("""COMPUTED_VALUE"""),295.0133333333333)</f>
        <v>295.0133333</v>
      </c>
      <c r="C196" s="22">
        <f>IFERROR(__xludf.DUMMYFUNCTION("""COMPUTED_VALUE"""),212.76666666666665)</f>
        <v>212.7666667</v>
      </c>
      <c r="D196" s="22">
        <f>IFERROR(__xludf.DUMMYFUNCTION("""COMPUTED_VALUE"""),436.3)</f>
        <v>436.3</v>
      </c>
      <c r="E196" s="21">
        <f>IFERROR(__xludf.DUMMYFUNCTION("""COMPUTED_VALUE"""),380.8833666040055)</f>
        <v>380.8833666</v>
      </c>
      <c r="F196" s="21">
        <f>IFERROR(__xludf.DUMMYFUNCTION("""COMPUTED_VALUE"""),328.1914285714286)</f>
        <v>328.1914286</v>
      </c>
      <c r="G196" s="21">
        <f>IFERROR(__xludf.DUMMYFUNCTION("""COMPUTED_VALUE"""),266.623557168784)</f>
        <v>266.6235572</v>
      </c>
    </row>
    <row r="197">
      <c r="A197" s="23">
        <f>IFERROR(__xludf.DUMMYFUNCTION("""COMPUTED_VALUE"""),44757.0)</f>
        <v>44757</v>
      </c>
      <c r="B197" s="21">
        <f>IFERROR(__xludf.DUMMYFUNCTION("""COMPUTED_VALUE"""),295.0133333333333)</f>
        <v>295.0133333</v>
      </c>
      <c r="C197" s="22">
        <f>IFERROR(__xludf.DUMMYFUNCTION("""COMPUTED_VALUE"""),212.76666666666665)</f>
        <v>212.7666667</v>
      </c>
      <c r="D197" s="22">
        <f>IFERROR(__xludf.DUMMYFUNCTION("""COMPUTED_VALUE"""),436.3)</f>
        <v>436.3</v>
      </c>
      <c r="E197" s="21">
        <f>IFERROR(__xludf.DUMMYFUNCTION("""COMPUTED_VALUE"""),383.2283483670156)</f>
        <v>383.2283484</v>
      </c>
      <c r="F197" s="21">
        <f>IFERROR(__xludf.DUMMYFUNCTION("""COMPUTED_VALUE"""),336.6067857142857)</f>
        <v>336.6067857</v>
      </c>
      <c r="G197" s="21">
        <f>IFERROR(__xludf.DUMMYFUNCTION("""COMPUTED_VALUE"""),266.623557168784)</f>
        <v>266.6235572</v>
      </c>
    </row>
    <row r="198">
      <c r="A198" s="23">
        <f>IFERROR(__xludf.DUMMYFUNCTION("""COMPUTED_VALUE"""),44758.0)</f>
        <v>44758</v>
      </c>
      <c r="B198" s="21">
        <f>IFERROR(__xludf.DUMMYFUNCTION("""COMPUTED_VALUE"""),295.0133333333333)</f>
        <v>295.0133333</v>
      </c>
      <c r="C198" s="22">
        <f>IFERROR(__xludf.DUMMYFUNCTION("""COMPUTED_VALUE"""),212.76666666666665)</f>
        <v>212.7666667</v>
      </c>
      <c r="D198" s="22">
        <f>IFERROR(__xludf.DUMMYFUNCTION("""COMPUTED_VALUE"""),436.3)</f>
        <v>436.3</v>
      </c>
      <c r="E198" s="21">
        <f>IFERROR(__xludf.DUMMYFUNCTION("""COMPUTED_VALUE"""),391.2643468543266)</f>
        <v>391.2643469</v>
      </c>
      <c r="F198" s="21">
        <f>IFERROR(__xludf.DUMMYFUNCTION("""COMPUTED_VALUE"""),345.0221428571429)</f>
        <v>345.0221429</v>
      </c>
      <c r="G198" s="21">
        <f>IFERROR(__xludf.DUMMYFUNCTION("""COMPUTED_VALUE"""),266.623557168784)</f>
        <v>266.6235572</v>
      </c>
    </row>
    <row r="199">
      <c r="A199" s="23">
        <f>IFERROR(__xludf.DUMMYFUNCTION("""COMPUTED_VALUE"""),44759.0)</f>
        <v>44759</v>
      </c>
      <c r="B199" s="21">
        <f>IFERROR(__xludf.DUMMYFUNCTION("""COMPUTED_VALUE"""),295.0133333333333)</f>
        <v>295.0133333</v>
      </c>
      <c r="C199" s="22">
        <f>IFERROR(__xludf.DUMMYFUNCTION("""COMPUTED_VALUE"""),212.76666666666665)</f>
        <v>212.7666667</v>
      </c>
      <c r="D199" s="22">
        <f>IFERROR(__xludf.DUMMYFUNCTION("""COMPUTED_VALUE"""),436.3)</f>
        <v>436.3</v>
      </c>
      <c r="E199" s="21">
        <f>IFERROR(__xludf.DUMMYFUNCTION("""COMPUTED_VALUE"""),396.93127030567445)</f>
        <v>396.9312703</v>
      </c>
      <c r="F199" s="21">
        <f>IFERROR(__xludf.DUMMYFUNCTION("""COMPUTED_VALUE"""),353.4375)</f>
        <v>353.4375</v>
      </c>
      <c r="G199" s="21">
        <f>IFERROR(__xludf.DUMMYFUNCTION("""COMPUTED_VALUE"""),266.623557168784)</f>
        <v>266.6235572</v>
      </c>
    </row>
    <row r="200">
      <c r="A200" s="23">
        <f>IFERROR(__xludf.DUMMYFUNCTION("""COMPUTED_VALUE"""),44760.0)</f>
        <v>44760</v>
      </c>
      <c r="B200" s="21">
        <f>IFERROR(__xludf.DUMMYFUNCTION("""COMPUTED_VALUE"""),325.25384615384615)</f>
        <v>325.2538462</v>
      </c>
      <c r="C200" s="22">
        <f>IFERROR(__xludf.DUMMYFUNCTION("""COMPUTED_VALUE"""),266.1)</f>
        <v>266.1</v>
      </c>
      <c r="D200" s="22">
        <f>IFERROR(__xludf.DUMMYFUNCTION("""COMPUTED_VALUE"""),390.45)</f>
        <v>390.45</v>
      </c>
      <c r="E200" s="21">
        <f>IFERROR(__xludf.DUMMYFUNCTION("""COMPUTED_VALUE"""),404.73299451673313)</f>
        <v>404.7329945</v>
      </c>
      <c r="F200" s="21">
        <f>IFERROR(__xludf.DUMMYFUNCTION("""COMPUTED_VALUE"""),353.91964285714283)</f>
        <v>353.9196429</v>
      </c>
      <c r="G200" s="21">
        <f>IFERROR(__xludf.DUMMYFUNCTION("""COMPUTED_VALUE"""),266.623557168784)</f>
        <v>266.6235572</v>
      </c>
    </row>
    <row r="201">
      <c r="A201" s="23">
        <f>IFERROR(__xludf.DUMMYFUNCTION("""COMPUTED_VALUE"""),44761.0)</f>
        <v>44761</v>
      </c>
      <c r="B201" s="21">
        <f>IFERROR(__xludf.DUMMYFUNCTION("""COMPUTED_VALUE"""),325.25384615384615)</f>
        <v>325.2538462</v>
      </c>
      <c r="C201" s="22">
        <f>IFERROR(__xludf.DUMMYFUNCTION("""COMPUTED_VALUE"""),266.1)</f>
        <v>266.1</v>
      </c>
      <c r="D201" s="22">
        <f>IFERROR(__xludf.DUMMYFUNCTION("""COMPUTED_VALUE"""),390.45)</f>
        <v>390.45</v>
      </c>
      <c r="E201" s="21">
        <f>IFERROR(__xludf.DUMMYFUNCTION("""COMPUTED_VALUE"""),443.72627016422314)</f>
        <v>443.7262702</v>
      </c>
      <c r="F201" s="21">
        <f>IFERROR(__xludf.DUMMYFUNCTION("""COMPUTED_VALUE"""),354.4017857142857)</f>
        <v>354.4017857</v>
      </c>
      <c r="G201" s="21">
        <f>IFERROR(__xludf.DUMMYFUNCTION("""COMPUTED_VALUE"""),266.623557168784)</f>
        <v>266.6235572</v>
      </c>
    </row>
    <row r="202">
      <c r="A202" s="23">
        <f>IFERROR(__xludf.DUMMYFUNCTION("""COMPUTED_VALUE"""),44762.0)</f>
        <v>44762</v>
      </c>
      <c r="B202" s="21">
        <f>IFERROR(__xludf.DUMMYFUNCTION("""COMPUTED_VALUE"""),325.25384615384615)</f>
        <v>325.2538462</v>
      </c>
      <c r="C202" s="22">
        <f>IFERROR(__xludf.DUMMYFUNCTION("""COMPUTED_VALUE"""),266.1)</f>
        <v>266.1</v>
      </c>
      <c r="D202" s="22">
        <f>IFERROR(__xludf.DUMMYFUNCTION("""COMPUTED_VALUE"""),390.45)</f>
        <v>390.45</v>
      </c>
      <c r="E202" s="21">
        <f>IFERROR(__xludf.DUMMYFUNCTION("""COMPUTED_VALUE"""),459.4296130127931)</f>
        <v>459.429613</v>
      </c>
      <c r="F202" s="21">
        <f>IFERROR(__xludf.DUMMYFUNCTION("""COMPUTED_VALUE"""),354.88392857142856)</f>
        <v>354.8839286</v>
      </c>
      <c r="G202" s="21">
        <f>IFERROR(__xludf.DUMMYFUNCTION("""COMPUTED_VALUE"""),266.623557168784)</f>
        <v>266.6235572</v>
      </c>
    </row>
    <row r="203">
      <c r="A203" s="23">
        <f>IFERROR(__xludf.DUMMYFUNCTION("""COMPUTED_VALUE"""),44763.0)</f>
        <v>44763</v>
      </c>
      <c r="B203" s="21">
        <f>IFERROR(__xludf.DUMMYFUNCTION("""COMPUTED_VALUE"""),325.25384615384615)</f>
        <v>325.2538462</v>
      </c>
      <c r="C203" s="22">
        <f>IFERROR(__xludf.DUMMYFUNCTION("""COMPUTED_VALUE"""),266.1)</f>
        <v>266.1</v>
      </c>
      <c r="D203" s="22">
        <f>IFERROR(__xludf.DUMMYFUNCTION("""COMPUTED_VALUE"""),390.45)</f>
        <v>390.45</v>
      </c>
      <c r="E203" s="21">
        <f>IFERROR(__xludf.DUMMYFUNCTION("""COMPUTED_VALUE"""),475.3975400277051)</f>
        <v>475.39754</v>
      </c>
      <c r="F203" s="21">
        <f>IFERROR(__xludf.DUMMYFUNCTION("""COMPUTED_VALUE"""),355.36607142857144)</f>
        <v>355.3660714</v>
      </c>
      <c r="G203" s="21">
        <f>IFERROR(__xludf.DUMMYFUNCTION("""COMPUTED_VALUE"""),266.623557168784)</f>
        <v>266.6235572</v>
      </c>
    </row>
    <row r="204">
      <c r="A204" s="23">
        <f>IFERROR(__xludf.DUMMYFUNCTION("""COMPUTED_VALUE"""),44764.0)</f>
        <v>44764</v>
      </c>
      <c r="B204" s="21">
        <f>IFERROR(__xludf.DUMMYFUNCTION("""COMPUTED_VALUE"""),325.25384615384615)</f>
        <v>325.2538462</v>
      </c>
      <c r="C204" s="22">
        <f>IFERROR(__xludf.DUMMYFUNCTION("""COMPUTED_VALUE"""),266.1)</f>
        <v>266.1</v>
      </c>
      <c r="D204" s="22">
        <f>IFERROR(__xludf.DUMMYFUNCTION("""COMPUTED_VALUE"""),390.45)</f>
        <v>390.45</v>
      </c>
      <c r="E204" s="21">
        <f>IFERROR(__xludf.DUMMYFUNCTION("""COMPUTED_VALUE"""),488.5367315143975)</f>
        <v>488.5367315</v>
      </c>
      <c r="F204" s="21">
        <f>IFERROR(__xludf.DUMMYFUNCTION("""COMPUTED_VALUE"""),355.8482142857143)</f>
        <v>355.8482143</v>
      </c>
      <c r="G204" s="21">
        <f>IFERROR(__xludf.DUMMYFUNCTION("""COMPUTED_VALUE"""),266.623557168784)</f>
        <v>266.6235572</v>
      </c>
    </row>
    <row r="205">
      <c r="A205" s="23">
        <f>IFERROR(__xludf.DUMMYFUNCTION("""COMPUTED_VALUE"""),44765.0)</f>
        <v>44765</v>
      </c>
      <c r="B205" s="21">
        <f>IFERROR(__xludf.DUMMYFUNCTION("""COMPUTED_VALUE"""),325.25384615384615)</f>
        <v>325.2538462</v>
      </c>
      <c r="C205" s="22">
        <f>IFERROR(__xludf.DUMMYFUNCTION("""COMPUTED_VALUE"""),266.1)</f>
        <v>266.1</v>
      </c>
      <c r="D205" s="22">
        <f>IFERROR(__xludf.DUMMYFUNCTION("""COMPUTED_VALUE"""),390.45)</f>
        <v>390.45</v>
      </c>
      <c r="E205" s="21">
        <f>IFERROR(__xludf.DUMMYFUNCTION("""COMPUTED_VALUE"""),493.456302656524)</f>
        <v>493.4563027</v>
      </c>
      <c r="F205" s="21">
        <f>IFERROR(__xludf.DUMMYFUNCTION("""COMPUTED_VALUE"""),356.33035714285717)</f>
        <v>356.3303571</v>
      </c>
      <c r="G205" s="21">
        <f>IFERROR(__xludf.DUMMYFUNCTION("""COMPUTED_VALUE"""),266.623557168784)</f>
        <v>266.6235572</v>
      </c>
    </row>
    <row r="206">
      <c r="A206" s="23">
        <f>IFERROR(__xludf.DUMMYFUNCTION("""COMPUTED_VALUE"""),44766.0)</f>
        <v>44766</v>
      </c>
      <c r="B206" s="21">
        <f>IFERROR(__xludf.DUMMYFUNCTION("""COMPUTED_VALUE"""),325.25384615384615)</f>
        <v>325.2538462</v>
      </c>
      <c r="C206" s="22">
        <f>IFERROR(__xludf.DUMMYFUNCTION("""COMPUTED_VALUE"""),266.1)</f>
        <v>266.1</v>
      </c>
      <c r="D206" s="22">
        <f>IFERROR(__xludf.DUMMYFUNCTION("""COMPUTED_VALUE"""),390.45)</f>
        <v>390.45</v>
      </c>
      <c r="E206" s="21">
        <f>IFERROR(__xludf.DUMMYFUNCTION("""COMPUTED_VALUE"""),493.762044770448)</f>
        <v>493.7620448</v>
      </c>
      <c r="F206" s="21">
        <f>IFERROR(__xludf.DUMMYFUNCTION("""COMPUTED_VALUE"""),356.8125)</f>
        <v>356.8125</v>
      </c>
      <c r="G206" s="21">
        <f>IFERROR(__xludf.DUMMYFUNCTION("""COMPUTED_VALUE"""),266.623557168784)</f>
        <v>266.6235572</v>
      </c>
    </row>
    <row r="207">
      <c r="A207" s="23">
        <f>IFERROR(__xludf.DUMMYFUNCTION("""COMPUTED_VALUE"""),44767.0)</f>
        <v>44767</v>
      </c>
      <c r="B207" s="21">
        <f>IFERROR(__xludf.DUMMYFUNCTION("""COMPUTED_VALUE"""),361.5153846153846)</f>
        <v>361.5153846</v>
      </c>
      <c r="C207" s="22">
        <f>IFERROR(__xludf.DUMMYFUNCTION("""COMPUTED_VALUE"""),269.7)</f>
        <v>269.7</v>
      </c>
      <c r="D207" s="22">
        <f>IFERROR(__xludf.DUMMYFUNCTION("""COMPUTED_VALUE"""),492.55)</f>
        <v>492.55</v>
      </c>
      <c r="E207" s="21">
        <f>IFERROR(__xludf.DUMMYFUNCTION("""COMPUTED_VALUE"""),504.4964373419014)</f>
        <v>504.4964373</v>
      </c>
      <c r="F207" s="21">
        <f>IFERROR(__xludf.DUMMYFUNCTION("""COMPUTED_VALUE"""),354.7703571428571)</f>
        <v>354.7703571</v>
      </c>
      <c r="G207" s="21">
        <f>IFERROR(__xludf.DUMMYFUNCTION("""COMPUTED_VALUE"""),266.623557168784)</f>
        <v>266.6235572</v>
      </c>
    </row>
    <row r="208">
      <c r="A208" s="23">
        <f>IFERROR(__xludf.DUMMYFUNCTION("""COMPUTED_VALUE"""),44768.0)</f>
        <v>44768</v>
      </c>
      <c r="B208" s="21">
        <f>IFERROR(__xludf.DUMMYFUNCTION("""COMPUTED_VALUE"""),361.5153846153846)</f>
        <v>361.5153846</v>
      </c>
      <c r="C208" s="22">
        <f>IFERROR(__xludf.DUMMYFUNCTION("""COMPUTED_VALUE"""),269.7)</f>
        <v>269.7</v>
      </c>
      <c r="D208" s="22">
        <f>IFERROR(__xludf.DUMMYFUNCTION("""COMPUTED_VALUE"""),492.55)</f>
        <v>492.55</v>
      </c>
      <c r="E208" s="21">
        <f>IFERROR(__xludf.DUMMYFUNCTION("""COMPUTED_VALUE"""),508.5161608244825)</f>
        <v>508.5161608</v>
      </c>
      <c r="F208" s="21">
        <f>IFERROR(__xludf.DUMMYFUNCTION("""COMPUTED_VALUE"""),352.7282142857143)</f>
        <v>352.7282143</v>
      </c>
      <c r="G208" s="21">
        <f>IFERROR(__xludf.DUMMYFUNCTION("""COMPUTED_VALUE"""),266.623557168784)</f>
        <v>266.6235572</v>
      </c>
    </row>
    <row r="209">
      <c r="A209" s="23">
        <f>IFERROR(__xludf.DUMMYFUNCTION("""COMPUTED_VALUE"""),44769.0)</f>
        <v>44769</v>
      </c>
      <c r="B209" s="21">
        <f>IFERROR(__xludf.DUMMYFUNCTION("""COMPUTED_VALUE"""),361.5153846153846)</f>
        <v>361.5153846</v>
      </c>
      <c r="C209" s="22">
        <f>IFERROR(__xludf.DUMMYFUNCTION("""COMPUTED_VALUE"""),269.7)</f>
        <v>269.7</v>
      </c>
      <c r="D209" s="22">
        <f>IFERROR(__xludf.DUMMYFUNCTION("""COMPUTED_VALUE"""),492.55)</f>
        <v>492.55</v>
      </c>
      <c r="E209" s="21">
        <f>IFERROR(__xludf.DUMMYFUNCTION("""COMPUTED_VALUE"""),506.0297316338421)</f>
        <v>506.0297316</v>
      </c>
      <c r="F209" s="21">
        <f>IFERROR(__xludf.DUMMYFUNCTION("""COMPUTED_VALUE"""),350.6860714285714)</f>
        <v>350.6860714</v>
      </c>
      <c r="G209" s="21">
        <f>IFERROR(__xludf.DUMMYFUNCTION("""COMPUTED_VALUE"""),266.623557168784)</f>
        <v>266.6235572</v>
      </c>
    </row>
    <row r="210">
      <c r="A210" s="23">
        <f>IFERROR(__xludf.DUMMYFUNCTION("""COMPUTED_VALUE"""),44770.0)</f>
        <v>44770</v>
      </c>
      <c r="B210" s="21">
        <f>IFERROR(__xludf.DUMMYFUNCTION("""COMPUTED_VALUE"""),361.5153846153846)</f>
        <v>361.5153846</v>
      </c>
      <c r="C210" s="22">
        <f>IFERROR(__xludf.DUMMYFUNCTION("""COMPUTED_VALUE"""),269.7)</f>
        <v>269.7</v>
      </c>
      <c r="D210" s="22">
        <f>IFERROR(__xludf.DUMMYFUNCTION("""COMPUTED_VALUE"""),492.55)</f>
        <v>492.55</v>
      </c>
      <c r="E210" s="21">
        <f>IFERROR(__xludf.DUMMYFUNCTION("""COMPUTED_VALUE"""),507.63820874510185)</f>
        <v>507.6382087</v>
      </c>
      <c r="F210" s="21">
        <f>IFERROR(__xludf.DUMMYFUNCTION("""COMPUTED_VALUE"""),348.6439285714286)</f>
        <v>348.6439286</v>
      </c>
      <c r="G210" s="21">
        <f>IFERROR(__xludf.DUMMYFUNCTION("""COMPUTED_VALUE"""),266.623557168784)</f>
        <v>266.6235572</v>
      </c>
    </row>
    <row r="211">
      <c r="A211" s="23">
        <f>IFERROR(__xludf.DUMMYFUNCTION("""COMPUTED_VALUE"""),44771.0)</f>
        <v>44771</v>
      </c>
      <c r="B211" s="21">
        <f>IFERROR(__xludf.DUMMYFUNCTION("""COMPUTED_VALUE"""),361.5153846153846)</f>
        <v>361.5153846</v>
      </c>
      <c r="C211" s="22">
        <f>IFERROR(__xludf.DUMMYFUNCTION("""COMPUTED_VALUE"""),269.7)</f>
        <v>269.7</v>
      </c>
      <c r="D211" s="22">
        <f>IFERROR(__xludf.DUMMYFUNCTION("""COMPUTED_VALUE"""),492.55)</f>
        <v>492.55</v>
      </c>
      <c r="E211" s="21">
        <f>IFERROR(__xludf.DUMMYFUNCTION("""COMPUTED_VALUE"""),506.150587820076)</f>
        <v>506.1505878</v>
      </c>
      <c r="F211" s="21">
        <f>IFERROR(__xludf.DUMMYFUNCTION("""COMPUTED_VALUE"""),346.6017857142857)</f>
        <v>346.6017857</v>
      </c>
      <c r="G211" s="21">
        <f>IFERROR(__xludf.DUMMYFUNCTION("""COMPUTED_VALUE"""),266.623557168784)</f>
        <v>266.6235572</v>
      </c>
    </row>
    <row r="212">
      <c r="A212" s="23">
        <f>IFERROR(__xludf.DUMMYFUNCTION("""COMPUTED_VALUE"""),44772.0)</f>
        <v>44772</v>
      </c>
      <c r="B212" s="21">
        <f>IFERROR(__xludf.DUMMYFUNCTION("""COMPUTED_VALUE"""),361.5153846153846)</f>
        <v>361.5153846</v>
      </c>
      <c r="C212" s="22">
        <f>IFERROR(__xludf.DUMMYFUNCTION("""COMPUTED_VALUE"""),269.7)</f>
        <v>269.7</v>
      </c>
      <c r="D212" s="22">
        <f>IFERROR(__xludf.DUMMYFUNCTION("""COMPUTED_VALUE"""),492.55)</f>
        <v>492.55</v>
      </c>
      <c r="E212" s="21">
        <f>IFERROR(__xludf.DUMMYFUNCTION("""COMPUTED_VALUE"""),502.7050563952994)</f>
        <v>502.7050564</v>
      </c>
      <c r="F212" s="21">
        <f>IFERROR(__xludf.DUMMYFUNCTION("""COMPUTED_VALUE"""),344.5596428571429)</f>
        <v>344.5596429</v>
      </c>
      <c r="G212" s="21">
        <f>IFERROR(__xludf.DUMMYFUNCTION("""COMPUTED_VALUE"""),266.623557168784)</f>
        <v>266.6235572</v>
      </c>
    </row>
    <row r="213">
      <c r="A213" s="23">
        <f>IFERROR(__xludf.DUMMYFUNCTION("""COMPUTED_VALUE"""),44773.0)</f>
        <v>44773</v>
      </c>
      <c r="B213" s="21">
        <f>IFERROR(__xludf.DUMMYFUNCTION("""COMPUTED_VALUE"""),361.5153846153846)</f>
        <v>361.5153846</v>
      </c>
      <c r="C213" s="22">
        <f>IFERROR(__xludf.DUMMYFUNCTION("""COMPUTED_VALUE"""),269.7)</f>
        <v>269.7</v>
      </c>
      <c r="D213" s="22">
        <f>IFERROR(__xludf.DUMMYFUNCTION("""COMPUTED_VALUE"""),492.55)</f>
        <v>492.55</v>
      </c>
      <c r="E213" s="21">
        <f>IFERROR(__xludf.DUMMYFUNCTION("""COMPUTED_VALUE"""),505.5371685612375)</f>
        <v>505.5371686</v>
      </c>
      <c r="F213" s="21">
        <f>IFERROR(__xludf.DUMMYFUNCTION("""COMPUTED_VALUE"""),342.5175)</f>
        <v>342.5175</v>
      </c>
      <c r="G213" s="21">
        <f>IFERROR(__xludf.DUMMYFUNCTION("""COMPUTED_VALUE"""),266.623557168784)</f>
        <v>266.6235572</v>
      </c>
    </row>
    <row r="214">
      <c r="A214" s="23">
        <f>IFERROR(__xludf.DUMMYFUNCTION("""COMPUTED_VALUE"""),44774.0)</f>
        <v>44774</v>
      </c>
      <c r="B214" s="21">
        <f>IFERROR(__xludf.DUMMYFUNCTION("""COMPUTED_VALUE"""),397.4363636363636)</f>
        <v>397.4363636</v>
      </c>
      <c r="C214" s="22">
        <f>IFERROR(__xludf.DUMMYFUNCTION("""COMPUTED_VALUE"""),293.85)</f>
        <v>293.85</v>
      </c>
      <c r="D214" s="22">
        <f>IFERROR(__xludf.DUMMYFUNCTION("""COMPUTED_VALUE"""),537.55)</f>
        <v>537.55</v>
      </c>
      <c r="E214" s="21">
        <f>IFERROR(__xludf.DUMMYFUNCTION("""COMPUTED_VALUE"""),494.18675191798695)</f>
        <v>494.1867519</v>
      </c>
      <c r="F214" s="21">
        <f>IFERROR(__xludf.DUMMYFUNCTION("""COMPUTED_VALUE"""),346.90392857142854)</f>
        <v>346.9039286</v>
      </c>
      <c r="G214" s="21">
        <f>IFERROR(__xludf.DUMMYFUNCTION("""COMPUTED_VALUE"""),266.623557168784)</f>
        <v>266.6235572</v>
      </c>
    </row>
    <row r="215">
      <c r="A215" s="20">
        <f>IFERROR(__xludf.DUMMYFUNCTION("""COMPUTED_VALUE"""),44775.0)</f>
        <v>44775</v>
      </c>
      <c r="B215" s="21">
        <f>IFERROR(__xludf.DUMMYFUNCTION("""COMPUTED_VALUE"""),397.4363636363636)</f>
        <v>397.4363636</v>
      </c>
      <c r="C215" s="22">
        <f>IFERROR(__xludf.DUMMYFUNCTION("""COMPUTED_VALUE"""),293.85)</f>
        <v>293.85</v>
      </c>
      <c r="D215" s="22">
        <f>IFERROR(__xludf.DUMMYFUNCTION("""COMPUTED_VALUE"""),537.55)</f>
        <v>537.55</v>
      </c>
      <c r="E215" s="21">
        <f>IFERROR(__xludf.DUMMYFUNCTION("""COMPUTED_VALUE"""),487.39305364651034)</f>
        <v>487.3930536</v>
      </c>
      <c r="F215" s="21">
        <f>IFERROR(__xludf.DUMMYFUNCTION("""COMPUTED_VALUE"""),351.2903571428571)</f>
        <v>351.2903571</v>
      </c>
      <c r="G215" s="21">
        <f>IFERROR(__xludf.DUMMYFUNCTION("""COMPUTED_VALUE"""),266.623557168784)</f>
        <v>266.6235572</v>
      </c>
    </row>
    <row r="216">
      <c r="A216" s="20">
        <f>IFERROR(__xludf.DUMMYFUNCTION("""COMPUTED_VALUE"""),44776.0)</f>
        <v>44776</v>
      </c>
      <c r="B216" s="21">
        <f>IFERROR(__xludf.DUMMYFUNCTION("""COMPUTED_VALUE"""),397.4363636363636)</f>
        <v>397.4363636</v>
      </c>
      <c r="C216" s="22">
        <f>IFERROR(__xludf.DUMMYFUNCTION("""COMPUTED_VALUE"""),293.85)</f>
        <v>293.85</v>
      </c>
      <c r="D216" s="22">
        <f>IFERROR(__xludf.DUMMYFUNCTION("""COMPUTED_VALUE"""),537.55)</f>
        <v>537.55</v>
      </c>
      <c r="E216" s="21">
        <f>IFERROR(__xludf.DUMMYFUNCTION("""COMPUTED_VALUE"""),485.38480616316986)</f>
        <v>485.3848062</v>
      </c>
      <c r="F216" s="21">
        <f>IFERROR(__xludf.DUMMYFUNCTION("""COMPUTED_VALUE"""),355.6767857142857)</f>
        <v>355.6767857</v>
      </c>
      <c r="G216" s="21">
        <f>IFERROR(__xludf.DUMMYFUNCTION("""COMPUTED_VALUE"""),266.623557168784)</f>
        <v>266.6235572</v>
      </c>
    </row>
    <row r="217">
      <c r="A217" s="20">
        <f>IFERROR(__xludf.DUMMYFUNCTION("""COMPUTED_VALUE"""),44777.0)</f>
        <v>44777</v>
      </c>
      <c r="B217" s="21">
        <f>IFERROR(__xludf.DUMMYFUNCTION("""COMPUTED_VALUE"""),397.4363636363636)</f>
        <v>397.4363636</v>
      </c>
      <c r="C217" s="22">
        <f>IFERROR(__xludf.DUMMYFUNCTION("""COMPUTED_VALUE"""),293.85)</f>
        <v>293.85</v>
      </c>
      <c r="D217" s="22">
        <f>IFERROR(__xludf.DUMMYFUNCTION("""COMPUTED_VALUE"""),537.55)</f>
        <v>537.55</v>
      </c>
      <c r="E217" s="21">
        <f>IFERROR(__xludf.DUMMYFUNCTION("""COMPUTED_VALUE"""),481.4003770264157)</f>
        <v>481.400377</v>
      </c>
      <c r="F217" s="21">
        <f>IFERROR(__xludf.DUMMYFUNCTION("""COMPUTED_VALUE"""),360.06321428571425)</f>
        <v>360.0632143</v>
      </c>
      <c r="G217" s="21">
        <f>IFERROR(__xludf.DUMMYFUNCTION("""COMPUTED_VALUE"""),266.623557168784)</f>
        <v>266.6235572</v>
      </c>
    </row>
    <row r="218">
      <c r="A218" s="20">
        <f>IFERROR(__xludf.DUMMYFUNCTION("""COMPUTED_VALUE"""),44778.0)</f>
        <v>44778</v>
      </c>
      <c r="B218" s="21">
        <f>IFERROR(__xludf.DUMMYFUNCTION("""COMPUTED_VALUE"""),397.4363636363636)</f>
        <v>397.4363636</v>
      </c>
      <c r="C218" s="22">
        <f>IFERROR(__xludf.DUMMYFUNCTION("""COMPUTED_VALUE"""),293.85)</f>
        <v>293.85</v>
      </c>
      <c r="D218" s="22">
        <f>IFERROR(__xludf.DUMMYFUNCTION("""COMPUTED_VALUE"""),537.55)</f>
        <v>537.55</v>
      </c>
      <c r="E218" s="21">
        <f>IFERROR(__xludf.DUMMYFUNCTION("""COMPUTED_VALUE"""),483.5095195826906)</f>
        <v>483.5095196</v>
      </c>
      <c r="F218" s="21">
        <f>IFERROR(__xludf.DUMMYFUNCTION("""COMPUTED_VALUE"""),364.4496428571428)</f>
        <v>364.4496429</v>
      </c>
      <c r="G218" s="21">
        <f>IFERROR(__xludf.DUMMYFUNCTION("""COMPUTED_VALUE"""),266.623557168784)</f>
        <v>266.6235572</v>
      </c>
    </row>
    <row r="219">
      <c r="A219" s="20">
        <f>IFERROR(__xludf.DUMMYFUNCTION("""COMPUTED_VALUE"""),44779.0)</f>
        <v>44779</v>
      </c>
      <c r="B219" s="21">
        <f>IFERROR(__xludf.DUMMYFUNCTION("""COMPUTED_VALUE"""),397.4363636363636)</f>
        <v>397.4363636</v>
      </c>
      <c r="C219" s="22">
        <f>IFERROR(__xludf.DUMMYFUNCTION("""COMPUTED_VALUE"""),293.85)</f>
        <v>293.85</v>
      </c>
      <c r="D219" s="22">
        <f>IFERROR(__xludf.DUMMYFUNCTION("""COMPUTED_VALUE"""),537.55)</f>
        <v>537.55</v>
      </c>
      <c r="E219" s="21">
        <f>IFERROR(__xludf.DUMMYFUNCTION("""COMPUTED_VALUE"""),497.7340550822041)</f>
        <v>497.7340551</v>
      </c>
      <c r="F219" s="21">
        <f>IFERROR(__xludf.DUMMYFUNCTION("""COMPUTED_VALUE"""),368.83607142857136)</f>
        <v>368.8360714</v>
      </c>
      <c r="G219" s="21">
        <f>IFERROR(__xludf.DUMMYFUNCTION("""COMPUTED_VALUE"""),266.623557168784)</f>
        <v>266.6235572</v>
      </c>
    </row>
    <row r="220">
      <c r="A220" s="20">
        <f>IFERROR(__xludf.DUMMYFUNCTION("""COMPUTED_VALUE"""),44780.0)</f>
        <v>44780</v>
      </c>
      <c r="B220" s="21">
        <f>IFERROR(__xludf.DUMMYFUNCTION("""COMPUTED_VALUE"""),397.4363636363636)</f>
        <v>397.4363636</v>
      </c>
      <c r="C220" s="22">
        <f>IFERROR(__xludf.DUMMYFUNCTION("""COMPUTED_VALUE"""),293.85)</f>
        <v>293.85</v>
      </c>
      <c r="D220" s="22">
        <f>IFERROR(__xludf.DUMMYFUNCTION("""COMPUTED_VALUE"""),537.55)</f>
        <v>537.55</v>
      </c>
      <c r="E220" s="21">
        <f>IFERROR(__xludf.DUMMYFUNCTION("""COMPUTED_VALUE"""),508.6713698666377)</f>
        <v>508.6713699</v>
      </c>
      <c r="F220" s="21">
        <f>IFERROR(__xludf.DUMMYFUNCTION("""COMPUTED_VALUE"""),373.2224999999999)</f>
        <v>373.2225</v>
      </c>
      <c r="G220" s="21">
        <f>IFERROR(__xludf.DUMMYFUNCTION("""COMPUTED_VALUE"""),266.623557168784)</f>
        <v>266.6235572</v>
      </c>
    </row>
    <row r="221">
      <c r="A221" s="20">
        <f>IFERROR(__xludf.DUMMYFUNCTION("""COMPUTED_VALUE"""),44781.0)</f>
        <v>44781</v>
      </c>
      <c r="B221" s="21">
        <f>IFERROR(__xludf.DUMMYFUNCTION("""COMPUTED_VALUE"""),402.6181818181817)</f>
        <v>402.6181818</v>
      </c>
      <c r="C221" s="22">
        <f>IFERROR(__xludf.DUMMYFUNCTION("""COMPUTED_VALUE"""),293.85)</f>
        <v>293.85</v>
      </c>
      <c r="D221" s="22">
        <f>IFERROR(__xludf.DUMMYFUNCTION("""COMPUTED_VALUE"""),537.55)</f>
        <v>537.55</v>
      </c>
      <c r="E221" s="21">
        <f>IFERROR(__xludf.DUMMYFUNCTION("""COMPUTED_VALUE"""),510.47993535656315)</f>
        <v>510.4799354</v>
      </c>
      <c r="F221" s="21">
        <f>IFERROR(__xludf.DUMMYFUNCTION("""COMPUTED_VALUE"""),376.95785714285705)</f>
        <v>376.9578571</v>
      </c>
      <c r="G221" s="21">
        <f>IFERROR(__xludf.DUMMYFUNCTION("""COMPUTED_VALUE"""),266.623557168784)</f>
        <v>266.6235572</v>
      </c>
    </row>
    <row r="222">
      <c r="A222" s="20">
        <f>IFERROR(__xludf.DUMMYFUNCTION("""COMPUTED_VALUE"""),44782.0)</f>
        <v>44782</v>
      </c>
      <c r="B222" s="21">
        <f>IFERROR(__xludf.DUMMYFUNCTION("""COMPUTED_VALUE"""),402.6181818181817)</f>
        <v>402.6181818</v>
      </c>
      <c r="C222" s="22">
        <f>IFERROR(__xludf.DUMMYFUNCTION("""COMPUTED_VALUE"""),293.85)</f>
        <v>293.85</v>
      </c>
      <c r="D222" s="22">
        <f>IFERROR(__xludf.DUMMYFUNCTION("""COMPUTED_VALUE"""),537.55)</f>
        <v>537.55</v>
      </c>
      <c r="E222" s="21">
        <f>IFERROR(__xludf.DUMMYFUNCTION("""COMPUTED_VALUE"""),509.1750988052193)</f>
        <v>509.1750988</v>
      </c>
      <c r="F222" s="21">
        <f>IFERROR(__xludf.DUMMYFUNCTION("""COMPUTED_VALUE"""),380.6932142857142)</f>
        <v>380.6932143</v>
      </c>
      <c r="G222" s="21">
        <f>IFERROR(__xludf.DUMMYFUNCTION("""COMPUTED_VALUE"""),266.623557168784)</f>
        <v>266.6235572</v>
      </c>
    </row>
    <row r="223">
      <c r="A223" s="20">
        <f>IFERROR(__xludf.DUMMYFUNCTION("""COMPUTED_VALUE"""),44783.0)</f>
        <v>44783</v>
      </c>
      <c r="B223" s="21">
        <f>IFERROR(__xludf.DUMMYFUNCTION("""COMPUTED_VALUE"""),402.6181818181817)</f>
        <v>402.6181818</v>
      </c>
      <c r="C223" s="22">
        <f>IFERROR(__xludf.DUMMYFUNCTION("""COMPUTED_VALUE"""),293.85)</f>
        <v>293.85</v>
      </c>
      <c r="D223" s="22">
        <f>IFERROR(__xludf.DUMMYFUNCTION("""COMPUTED_VALUE"""),537.55)</f>
        <v>537.55</v>
      </c>
      <c r="E223" s="21">
        <f>IFERROR(__xludf.DUMMYFUNCTION("""COMPUTED_VALUE"""),496.64300331044717)</f>
        <v>496.6430033</v>
      </c>
      <c r="F223" s="21">
        <f>IFERROR(__xludf.DUMMYFUNCTION("""COMPUTED_VALUE"""),384.4285714285714)</f>
        <v>384.4285714</v>
      </c>
      <c r="G223" s="21">
        <f>IFERROR(__xludf.DUMMYFUNCTION("""COMPUTED_VALUE"""),266.623557168784)</f>
        <v>266.6235572</v>
      </c>
    </row>
    <row r="224">
      <c r="A224" s="20">
        <f>IFERROR(__xludf.DUMMYFUNCTION("""COMPUTED_VALUE"""),44784.0)</f>
        <v>44784</v>
      </c>
      <c r="B224" s="21">
        <f>IFERROR(__xludf.DUMMYFUNCTION("""COMPUTED_VALUE"""),402.6181818181817)</f>
        <v>402.6181818</v>
      </c>
      <c r="C224" s="22">
        <f>IFERROR(__xludf.DUMMYFUNCTION("""COMPUTED_VALUE"""),293.85)</f>
        <v>293.85</v>
      </c>
      <c r="D224" s="22">
        <f>IFERROR(__xludf.DUMMYFUNCTION("""COMPUTED_VALUE"""),537.55)</f>
        <v>537.55</v>
      </c>
      <c r="E224" s="21">
        <f>IFERROR(__xludf.DUMMYFUNCTION("""COMPUTED_VALUE"""),488.7314493474285)</f>
        <v>488.7314493</v>
      </c>
      <c r="F224" s="21">
        <f>IFERROR(__xludf.DUMMYFUNCTION("""COMPUTED_VALUE"""),388.1639285714285)</f>
        <v>388.1639286</v>
      </c>
      <c r="G224" s="21">
        <f>IFERROR(__xludf.DUMMYFUNCTION("""COMPUTED_VALUE"""),266.623557168784)</f>
        <v>266.6235572</v>
      </c>
    </row>
    <row r="225">
      <c r="A225" s="20">
        <f>IFERROR(__xludf.DUMMYFUNCTION("""COMPUTED_VALUE"""),44785.0)</f>
        <v>44785</v>
      </c>
      <c r="B225" s="21">
        <f>IFERROR(__xludf.DUMMYFUNCTION("""COMPUTED_VALUE"""),402.6181818181817)</f>
        <v>402.6181818</v>
      </c>
      <c r="C225" s="22">
        <f>IFERROR(__xludf.DUMMYFUNCTION("""COMPUTED_VALUE"""),293.85)</f>
        <v>293.85</v>
      </c>
      <c r="D225" s="22">
        <f>IFERROR(__xludf.DUMMYFUNCTION("""COMPUTED_VALUE"""),537.55)</f>
        <v>537.55</v>
      </c>
      <c r="E225" s="21">
        <f>IFERROR(__xludf.DUMMYFUNCTION("""COMPUTED_VALUE"""),447.9251315708739)</f>
        <v>447.9251316</v>
      </c>
      <c r="F225" s="21">
        <f>IFERROR(__xludf.DUMMYFUNCTION("""COMPUTED_VALUE"""),391.89928571428567)</f>
        <v>391.8992857</v>
      </c>
      <c r="G225" s="21">
        <f>IFERROR(__xludf.DUMMYFUNCTION("""COMPUTED_VALUE"""),266.623557168784)</f>
        <v>266.6235572</v>
      </c>
    </row>
    <row r="226">
      <c r="A226" s="20">
        <f>IFERROR(__xludf.DUMMYFUNCTION("""COMPUTED_VALUE"""),44786.0)</f>
        <v>44786</v>
      </c>
      <c r="B226" s="21">
        <f>IFERROR(__xludf.DUMMYFUNCTION("""COMPUTED_VALUE"""),402.6181818181817)</f>
        <v>402.6181818</v>
      </c>
      <c r="C226" s="22">
        <f>IFERROR(__xludf.DUMMYFUNCTION("""COMPUTED_VALUE"""),293.85)</f>
        <v>293.85</v>
      </c>
      <c r="D226" s="22">
        <f>IFERROR(__xludf.DUMMYFUNCTION("""COMPUTED_VALUE"""),537.55)</f>
        <v>537.55</v>
      </c>
      <c r="E226" s="21">
        <f>IFERROR(__xludf.DUMMYFUNCTION("""COMPUTED_VALUE"""),435.36836708296136)</f>
        <v>435.3683671</v>
      </c>
      <c r="F226" s="21">
        <f>IFERROR(__xludf.DUMMYFUNCTION("""COMPUTED_VALUE"""),395.6346428571428)</f>
        <v>395.6346429</v>
      </c>
      <c r="G226" s="21">
        <f>IFERROR(__xludf.DUMMYFUNCTION("""COMPUTED_VALUE"""),266.623557168784)</f>
        <v>266.6235572</v>
      </c>
    </row>
    <row r="227">
      <c r="A227" s="23">
        <f>IFERROR(__xludf.DUMMYFUNCTION("""COMPUTED_VALUE"""),44787.0)</f>
        <v>44787</v>
      </c>
      <c r="B227" s="21">
        <f>IFERROR(__xludf.DUMMYFUNCTION("""COMPUTED_VALUE"""),402.6181818181817)</f>
        <v>402.6181818</v>
      </c>
      <c r="C227" s="22">
        <f>IFERROR(__xludf.DUMMYFUNCTION("""COMPUTED_VALUE"""),293.85)</f>
        <v>293.85</v>
      </c>
      <c r="D227" s="22">
        <f>IFERROR(__xludf.DUMMYFUNCTION("""COMPUTED_VALUE"""),537.55)</f>
        <v>537.55</v>
      </c>
      <c r="E227" s="21">
        <f>IFERROR(__xludf.DUMMYFUNCTION("""COMPUTED_VALUE"""),427.16931013783943)</f>
        <v>427.1693101</v>
      </c>
      <c r="F227" s="21">
        <f>IFERROR(__xludf.DUMMYFUNCTION("""COMPUTED_VALUE"""),399.36999999999995)</f>
        <v>399.37</v>
      </c>
      <c r="G227" s="21">
        <f>IFERROR(__xludf.DUMMYFUNCTION("""COMPUTED_VALUE"""),266.623557168784)</f>
        <v>266.6235572</v>
      </c>
    </row>
    <row r="228">
      <c r="A228" s="23">
        <f>IFERROR(__xludf.DUMMYFUNCTION("""COMPUTED_VALUE"""),44788.0)</f>
        <v>44788</v>
      </c>
      <c r="B228" s="21">
        <f>IFERROR(__xludf.DUMMYFUNCTION("""COMPUTED_VALUE"""),421.83636363636356)</f>
        <v>421.8363636</v>
      </c>
      <c r="C228" s="22">
        <f>IFERROR(__xludf.DUMMYFUNCTION("""COMPUTED_VALUE"""),308.25)</f>
        <v>308.25</v>
      </c>
      <c r="D228" s="22">
        <f>IFERROR(__xludf.DUMMYFUNCTION("""COMPUTED_VALUE"""),537.55)</f>
        <v>537.55</v>
      </c>
      <c r="E228" s="21">
        <f>IFERROR(__xludf.DUMMYFUNCTION("""COMPUTED_VALUE"""),424.6559122947209)</f>
        <v>424.6559123</v>
      </c>
      <c r="F228" s="21">
        <f>IFERROR(__xludf.DUMMYFUNCTION("""COMPUTED_VALUE"""),399.36999999999995)</f>
        <v>399.37</v>
      </c>
      <c r="G228" s="21">
        <f>IFERROR(__xludf.DUMMYFUNCTION("""COMPUTED_VALUE"""),266.623557168784)</f>
        <v>266.6235572</v>
      </c>
    </row>
    <row r="229">
      <c r="A229" s="23">
        <f>IFERROR(__xludf.DUMMYFUNCTION("""COMPUTED_VALUE"""),44789.0)</f>
        <v>44789</v>
      </c>
      <c r="B229" s="21">
        <f>IFERROR(__xludf.DUMMYFUNCTION("""COMPUTED_VALUE"""),421.83636363636356)</f>
        <v>421.8363636</v>
      </c>
      <c r="C229" s="22">
        <f>IFERROR(__xludf.DUMMYFUNCTION("""COMPUTED_VALUE"""),308.25)</f>
        <v>308.25</v>
      </c>
      <c r="D229" s="22">
        <f>IFERROR(__xludf.DUMMYFUNCTION("""COMPUTED_VALUE"""),537.55)</f>
        <v>537.55</v>
      </c>
      <c r="E229" s="21">
        <f>IFERROR(__xludf.DUMMYFUNCTION("""COMPUTED_VALUE"""),429.22957708145)</f>
        <v>429.2295771</v>
      </c>
      <c r="F229" s="21">
        <f>IFERROR(__xludf.DUMMYFUNCTION("""COMPUTED_VALUE"""),406.8364285714285)</f>
        <v>406.8364286</v>
      </c>
      <c r="G229" s="21">
        <f>IFERROR(__xludf.DUMMYFUNCTION("""COMPUTED_VALUE"""),266.623557168784)</f>
        <v>266.6235572</v>
      </c>
    </row>
    <row r="230">
      <c r="A230" s="23">
        <f>IFERROR(__xludf.DUMMYFUNCTION("""COMPUTED_VALUE"""),44790.0)</f>
        <v>44790</v>
      </c>
      <c r="B230" s="21">
        <f>IFERROR(__xludf.DUMMYFUNCTION("""COMPUTED_VALUE"""),421.83636363636356)</f>
        <v>421.8363636</v>
      </c>
      <c r="C230" s="22">
        <f>IFERROR(__xludf.DUMMYFUNCTION("""COMPUTED_VALUE"""),308.25)</f>
        <v>308.25</v>
      </c>
      <c r="D230" s="22">
        <f>IFERROR(__xludf.DUMMYFUNCTION("""COMPUTED_VALUE"""),537.55)</f>
        <v>537.55</v>
      </c>
      <c r="E230" s="21">
        <f>IFERROR(__xludf.DUMMYFUNCTION("""COMPUTED_VALUE"""),444.75303397713)</f>
        <v>444.753034</v>
      </c>
      <c r="F230" s="21">
        <f>IFERROR(__xludf.DUMMYFUNCTION("""COMPUTED_VALUE"""),414.30285714285714)</f>
        <v>414.3028571</v>
      </c>
      <c r="G230" s="21">
        <f>IFERROR(__xludf.DUMMYFUNCTION("""COMPUTED_VALUE"""),266.623557168784)</f>
        <v>266.6235572</v>
      </c>
    </row>
    <row r="231">
      <c r="A231" s="23">
        <f>IFERROR(__xludf.DUMMYFUNCTION("""COMPUTED_VALUE"""),44791.0)</f>
        <v>44791</v>
      </c>
      <c r="B231" s="21">
        <f>IFERROR(__xludf.DUMMYFUNCTION("""COMPUTED_VALUE"""),421.83636363636356)</f>
        <v>421.8363636</v>
      </c>
      <c r="C231" s="22">
        <f>IFERROR(__xludf.DUMMYFUNCTION("""COMPUTED_VALUE"""),308.25)</f>
        <v>308.25</v>
      </c>
      <c r="D231" s="22">
        <f>IFERROR(__xludf.DUMMYFUNCTION("""COMPUTED_VALUE"""),537.55)</f>
        <v>537.55</v>
      </c>
      <c r="E231" s="21">
        <f>IFERROR(__xludf.DUMMYFUNCTION("""COMPUTED_VALUE"""),454.0458632247572)</f>
        <v>454.0458632</v>
      </c>
      <c r="F231" s="21">
        <f>IFERROR(__xludf.DUMMYFUNCTION("""COMPUTED_VALUE"""),421.76928571428573)</f>
        <v>421.7692857</v>
      </c>
      <c r="G231" s="21">
        <f>IFERROR(__xludf.DUMMYFUNCTION("""COMPUTED_VALUE"""),266.623557168784)</f>
        <v>266.6235572</v>
      </c>
    </row>
    <row r="232">
      <c r="A232" s="23">
        <f>IFERROR(__xludf.DUMMYFUNCTION("""COMPUTED_VALUE"""),44792.0)</f>
        <v>44792</v>
      </c>
      <c r="B232" s="21">
        <f>IFERROR(__xludf.DUMMYFUNCTION("""COMPUTED_VALUE"""),421.83636363636356)</f>
        <v>421.8363636</v>
      </c>
      <c r="C232" s="22">
        <f>IFERROR(__xludf.DUMMYFUNCTION("""COMPUTED_VALUE"""),308.25)</f>
        <v>308.25</v>
      </c>
      <c r="D232" s="22">
        <f>IFERROR(__xludf.DUMMYFUNCTION("""COMPUTED_VALUE"""),537.55)</f>
        <v>537.55</v>
      </c>
      <c r="E232" s="21">
        <f>IFERROR(__xludf.DUMMYFUNCTION("""COMPUTED_VALUE"""),489.9849529209209)</f>
        <v>489.9849529</v>
      </c>
      <c r="F232" s="21">
        <f>IFERROR(__xludf.DUMMYFUNCTION("""COMPUTED_VALUE"""),429.2357142857144)</f>
        <v>429.2357143</v>
      </c>
      <c r="G232" s="21">
        <f>IFERROR(__xludf.DUMMYFUNCTION("""COMPUTED_VALUE"""),266.623557168784)</f>
        <v>266.6235572</v>
      </c>
    </row>
    <row r="233">
      <c r="A233" s="23">
        <f>IFERROR(__xludf.DUMMYFUNCTION("""COMPUTED_VALUE"""),44793.0)</f>
        <v>44793</v>
      </c>
      <c r="B233" s="21">
        <f>IFERROR(__xludf.DUMMYFUNCTION("""COMPUTED_VALUE"""),421.83636363636356)</f>
        <v>421.8363636</v>
      </c>
      <c r="C233" s="22">
        <f>IFERROR(__xludf.DUMMYFUNCTION("""COMPUTED_VALUE"""),308.25)</f>
        <v>308.25</v>
      </c>
      <c r="D233" s="22">
        <f>IFERROR(__xludf.DUMMYFUNCTION("""COMPUTED_VALUE"""),537.55)</f>
        <v>537.55</v>
      </c>
      <c r="E233" s="21">
        <f>IFERROR(__xludf.DUMMYFUNCTION("""COMPUTED_VALUE"""),498.8712121936068)</f>
        <v>498.8712122</v>
      </c>
      <c r="F233" s="21">
        <f>IFERROR(__xludf.DUMMYFUNCTION("""COMPUTED_VALUE"""),436.70214285714286)</f>
        <v>436.7021429</v>
      </c>
      <c r="G233" s="21">
        <f>IFERROR(__xludf.DUMMYFUNCTION("""COMPUTED_VALUE"""),266.623557168784)</f>
        <v>266.6235572</v>
      </c>
    </row>
    <row r="234">
      <c r="A234" s="23">
        <f>IFERROR(__xludf.DUMMYFUNCTION("""COMPUTED_VALUE"""),44794.0)</f>
        <v>44794</v>
      </c>
      <c r="B234" s="21">
        <f>IFERROR(__xludf.DUMMYFUNCTION("""COMPUTED_VALUE"""),421.83636363636356)</f>
        <v>421.8363636</v>
      </c>
      <c r="C234" s="22">
        <f>IFERROR(__xludf.DUMMYFUNCTION("""COMPUTED_VALUE"""),308.25)</f>
        <v>308.25</v>
      </c>
      <c r="D234" s="22">
        <f>IFERROR(__xludf.DUMMYFUNCTION("""COMPUTED_VALUE"""),537.55)</f>
        <v>537.55</v>
      </c>
      <c r="E234" s="21">
        <f>IFERROR(__xludf.DUMMYFUNCTION("""COMPUTED_VALUE"""),505.91730529753687)</f>
        <v>505.9173053</v>
      </c>
      <c r="F234" s="21">
        <f>IFERROR(__xludf.DUMMYFUNCTION("""COMPUTED_VALUE"""),444.16857142857145)</f>
        <v>444.1685714</v>
      </c>
      <c r="G234" s="21">
        <f>IFERROR(__xludf.DUMMYFUNCTION("""COMPUTED_VALUE"""),266.623557168784)</f>
        <v>266.6235572</v>
      </c>
    </row>
    <row r="235">
      <c r="A235" s="23">
        <f>IFERROR(__xludf.DUMMYFUNCTION("""COMPUTED_VALUE"""),44795.0)</f>
        <v>44795</v>
      </c>
      <c r="B235" s="21">
        <f>IFERROR(__xludf.DUMMYFUNCTION("""COMPUTED_VALUE"""),460.52)</f>
        <v>460.52</v>
      </c>
      <c r="C235" s="22">
        <f>IFERROR(__xludf.DUMMYFUNCTION("""COMPUTED_VALUE"""),353.8666666666667)</f>
        <v>353.8666667</v>
      </c>
      <c r="D235" s="22">
        <f>IFERROR(__xludf.DUMMYFUNCTION("""COMPUTED_VALUE"""),576.6)</f>
        <v>576.6</v>
      </c>
      <c r="E235" s="21">
        <f>IFERROR(__xludf.DUMMYFUNCTION("""COMPUTED_VALUE"""),521.7375210015764)</f>
        <v>521.737521</v>
      </c>
      <c r="F235" s="21">
        <f>IFERROR(__xludf.DUMMYFUNCTION("""COMPUTED_VALUE"""),461.47821428571433)</f>
        <v>461.4782143</v>
      </c>
      <c r="G235" s="21">
        <f>IFERROR(__xludf.DUMMYFUNCTION("""COMPUTED_VALUE"""),266.623557168784)</f>
        <v>266.6235572</v>
      </c>
    </row>
    <row r="236">
      <c r="A236" s="23">
        <f>IFERROR(__xludf.DUMMYFUNCTION("""COMPUTED_VALUE"""),44796.0)</f>
        <v>44796</v>
      </c>
      <c r="B236" s="21">
        <f>IFERROR(__xludf.DUMMYFUNCTION("""COMPUTED_VALUE"""),460.52)</f>
        <v>460.52</v>
      </c>
      <c r="C236" s="22">
        <f>IFERROR(__xludf.DUMMYFUNCTION("""COMPUTED_VALUE"""),353.8666666666667)</f>
        <v>353.8666667</v>
      </c>
      <c r="D236" s="22">
        <f>IFERROR(__xludf.DUMMYFUNCTION("""COMPUTED_VALUE"""),576.6)</f>
        <v>576.6</v>
      </c>
      <c r="E236" s="21">
        <f>IFERROR(__xludf.DUMMYFUNCTION("""COMPUTED_VALUE"""),536.3117634628759)</f>
        <v>536.3117635</v>
      </c>
      <c r="F236" s="21">
        <f>IFERROR(__xludf.DUMMYFUNCTION("""COMPUTED_VALUE"""),471.32142857142856)</f>
        <v>471.3214286</v>
      </c>
      <c r="G236" s="21">
        <f>IFERROR(__xludf.DUMMYFUNCTION("""COMPUTED_VALUE"""),266.623557168784)</f>
        <v>266.6235572</v>
      </c>
    </row>
    <row r="237">
      <c r="A237" s="23">
        <f>IFERROR(__xludf.DUMMYFUNCTION("""COMPUTED_VALUE"""),44797.0)</f>
        <v>44797</v>
      </c>
      <c r="B237" s="21">
        <f>IFERROR(__xludf.DUMMYFUNCTION("""COMPUTED_VALUE"""),460.52)</f>
        <v>460.52</v>
      </c>
      <c r="C237" s="22">
        <f>IFERROR(__xludf.DUMMYFUNCTION("""COMPUTED_VALUE"""),353.8666666666667)</f>
        <v>353.8666667</v>
      </c>
      <c r="D237" s="22">
        <f>IFERROR(__xludf.DUMMYFUNCTION("""COMPUTED_VALUE"""),576.6)</f>
        <v>576.6</v>
      </c>
      <c r="E237" s="21">
        <f>IFERROR(__xludf.DUMMYFUNCTION("""COMPUTED_VALUE"""),550.5867020375904)</f>
        <v>550.586702</v>
      </c>
      <c r="F237" s="21">
        <f>IFERROR(__xludf.DUMMYFUNCTION("""COMPUTED_VALUE"""),481.16464285714284)</f>
        <v>481.1646429</v>
      </c>
      <c r="G237" s="21">
        <f>IFERROR(__xludf.DUMMYFUNCTION("""COMPUTED_VALUE"""),266.623557168784)</f>
        <v>266.6235572</v>
      </c>
    </row>
    <row r="238">
      <c r="A238" s="23">
        <f>IFERROR(__xludf.DUMMYFUNCTION("""COMPUTED_VALUE"""),44798.0)</f>
        <v>44798</v>
      </c>
      <c r="B238" s="21">
        <f>IFERROR(__xludf.DUMMYFUNCTION("""COMPUTED_VALUE"""),460.52)</f>
        <v>460.52</v>
      </c>
      <c r="C238" s="22">
        <f>IFERROR(__xludf.DUMMYFUNCTION("""COMPUTED_VALUE"""),353.8666666666667)</f>
        <v>353.8666667</v>
      </c>
      <c r="D238" s="22">
        <f>IFERROR(__xludf.DUMMYFUNCTION("""COMPUTED_VALUE"""),576.6)</f>
        <v>576.6</v>
      </c>
      <c r="E238" s="21">
        <f>IFERROR(__xludf.DUMMYFUNCTION("""COMPUTED_VALUE"""),560.0351022217186)</f>
        <v>560.0351022</v>
      </c>
      <c r="F238" s="21">
        <f>IFERROR(__xludf.DUMMYFUNCTION("""COMPUTED_VALUE"""),491.00785714285706)</f>
        <v>491.0078571</v>
      </c>
      <c r="G238" s="21">
        <f>IFERROR(__xludf.DUMMYFUNCTION("""COMPUTED_VALUE"""),266.623557168784)</f>
        <v>266.6235572</v>
      </c>
    </row>
    <row r="239">
      <c r="A239" s="23">
        <f>IFERROR(__xludf.DUMMYFUNCTION("""COMPUTED_VALUE"""),44799.0)</f>
        <v>44799</v>
      </c>
      <c r="B239" s="21">
        <f>IFERROR(__xludf.DUMMYFUNCTION("""COMPUTED_VALUE"""),460.52)</f>
        <v>460.52</v>
      </c>
      <c r="C239" s="22">
        <f>IFERROR(__xludf.DUMMYFUNCTION("""COMPUTED_VALUE"""),353.8666666666667)</f>
        <v>353.8666667</v>
      </c>
      <c r="D239" s="22">
        <f>IFERROR(__xludf.DUMMYFUNCTION("""COMPUTED_VALUE"""),576.6)</f>
        <v>576.6</v>
      </c>
      <c r="E239" s="21">
        <f>IFERROR(__xludf.DUMMYFUNCTION("""COMPUTED_VALUE"""),591.3974562307312)</f>
        <v>591.3974562</v>
      </c>
      <c r="F239" s="21">
        <f>IFERROR(__xludf.DUMMYFUNCTION("""COMPUTED_VALUE"""),500.85107142857134)</f>
        <v>500.8510714</v>
      </c>
      <c r="G239" s="21">
        <f>IFERROR(__xludf.DUMMYFUNCTION("""COMPUTED_VALUE"""),266.623557168784)</f>
        <v>266.6235572</v>
      </c>
    </row>
    <row r="240">
      <c r="A240" s="23">
        <f>IFERROR(__xludf.DUMMYFUNCTION("""COMPUTED_VALUE"""),44800.0)</f>
        <v>44800</v>
      </c>
      <c r="B240" s="21">
        <f>IFERROR(__xludf.DUMMYFUNCTION("""COMPUTED_VALUE"""),460.52)</f>
        <v>460.52</v>
      </c>
      <c r="C240" s="22">
        <f>IFERROR(__xludf.DUMMYFUNCTION("""COMPUTED_VALUE"""),353.8666666666667)</f>
        <v>353.8666667</v>
      </c>
      <c r="D240" s="22">
        <f>IFERROR(__xludf.DUMMYFUNCTION("""COMPUTED_VALUE"""),576.6)</f>
        <v>576.6</v>
      </c>
      <c r="E240" s="21">
        <f>IFERROR(__xludf.DUMMYFUNCTION("""COMPUTED_VALUE"""),620.7247604254444)</f>
        <v>620.7247604</v>
      </c>
      <c r="F240" s="21">
        <f>IFERROR(__xludf.DUMMYFUNCTION("""COMPUTED_VALUE"""),509.05375)</f>
        <v>509.05375</v>
      </c>
      <c r="G240" s="21">
        <f>IFERROR(__xludf.DUMMYFUNCTION("""COMPUTED_VALUE"""),266.623557168784)</f>
        <v>266.6235572</v>
      </c>
    </row>
    <row r="241">
      <c r="A241" s="23">
        <f>IFERROR(__xludf.DUMMYFUNCTION("""COMPUTED_VALUE"""),44801.0)</f>
        <v>44801</v>
      </c>
      <c r="B241" s="21">
        <f>IFERROR(__xludf.DUMMYFUNCTION("""COMPUTED_VALUE"""),460.52)</f>
        <v>460.52</v>
      </c>
      <c r="C241" s="22">
        <f>IFERROR(__xludf.DUMMYFUNCTION("""COMPUTED_VALUE"""),353.8666666666667)</f>
        <v>353.8666667</v>
      </c>
      <c r="D241" s="22">
        <f>IFERROR(__xludf.DUMMYFUNCTION("""COMPUTED_VALUE"""),576.6)</f>
        <v>576.6</v>
      </c>
      <c r="E241" s="21">
        <f>IFERROR(__xludf.DUMMYFUNCTION("""COMPUTED_VALUE"""),651.9871648751042)</f>
        <v>651.9871649</v>
      </c>
      <c r="F241" s="21">
        <f>IFERROR(__xludf.DUMMYFUNCTION("""COMPUTED_VALUE"""),520.5374999999999)</f>
        <v>520.5375</v>
      </c>
      <c r="G241" s="21">
        <f>IFERROR(__xludf.DUMMYFUNCTION("""COMPUTED_VALUE"""),266.623557168784)</f>
        <v>266.6235572</v>
      </c>
    </row>
    <row r="242">
      <c r="A242" s="23">
        <f>IFERROR(__xludf.DUMMYFUNCTION("""COMPUTED_VALUE"""),44802.0)</f>
        <v>44802</v>
      </c>
      <c r="B242" s="21">
        <f>IFERROR(__xludf.DUMMYFUNCTION("""COMPUTED_VALUE"""),513.4888888888889)</f>
        <v>513.4888889</v>
      </c>
      <c r="C242" s="22">
        <f>IFERROR(__xludf.DUMMYFUNCTION("""COMPUTED_VALUE"""),416.2166666666667)</f>
        <v>416.2166667</v>
      </c>
      <c r="D242" s="22">
        <f>IFERROR(__xludf.DUMMYFUNCTION("""COMPUTED_VALUE"""),640.1)</f>
        <v>640.1</v>
      </c>
      <c r="E242" s="21">
        <f>IFERROR(__xludf.DUMMYFUNCTION("""COMPUTED_VALUE"""),677.4919323638203)</f>
        <v>677.4919324</v>
      </c>
      <c r="F242" s="21">
        <f>IFERROR(__xludf.DUMMYFUNCTION("""COMPUTED_VALUE"""),539.9024999999999)</f>
        <v>539.9025</v>
      </c>
      <c r="G242" s="21">
        <f>IFERROR(__xludf.DUMMYFUNCTION("""COMPUTED_VALUE"""),266.623557168784)</f>
        <v>266.6235572</v>
      </c>
    </row>
    <row r="243">
      <c r="A243" s="23">
        <f>IFERROR(__xludf.DUMMYFUNCTION("""COMPUTED_VALUE"""),44803.0)</f>
        <v>44803</v>
      </c>
      <c r="B243" s="21">
        <f>IFERROR(__xludf.DUMMYFUNCTION("""COMPUTED_VALUE"""),513.4888888888889)</f>
        <v>513.4888889</v>
      </c>
      <c r="C243" s="22">
        <f>IFERROR(__xludf.DUMMYFUNCTION("""COMPUTED_VALUE"""),416.2166666666667)</f>
        <v>416.2166667</v>
      </c>
      <c r="D243" s="22">
        <f>IFERROR(__xludf.DUMMYFUNCTION("""COMPUTED_VALUE"""),640.1)</f>
        <v>640.1</v>
      </c>
      <c r="E243" s="21">
        <f>IFERROR(__xludf.DUMMYFUNCTION("""COMPUTED_VALUE"""),692.0760456064002)</f>
        <v>692.0760456</v>
      </c>
      <c r="F243" s="21">
        <f>IFERROR(__xludf.DUMMYFUNCTION("""COMPUTED_VALUE"""),559.2675)</f>
        <v>559.2675</v>
      </c>
      <c r="G243" s="21">
        <f>IFERROR(__xludf.DUMMYFUNCTION("""COMPUTED_VALUE"""),266.623557168784)</f>
        <v>266.6235572</v>
      </c>
    </row>
    <row r="244">
      <c r="A244" s="23">
        <f>IFERROR(__xludf.DUMMYFUNCTION("""COMPUTED_VALUE"""),44804.0)</f>
        <v>44804</v>
      </c>
      <c r="B244" s="21">
        <f>IFERROR(__xludf.DUMMYFUNCTION("""COMPUTED_VALUE"""),513.4888888888889)</f>
        <v>513.4888889</v>
      </c>
      <c r="C244" s="22">
        <f>IFERROR(__xludf.DUMMYFUNCTION("""COMPUTED_VALUE"""),416.2166666666667)</f>
        <v>416.2166667</v>
      </c>
      <c r="D244" s="22">
        <f>IFERROR(__xludf.DUMMYFUNCTION("""COMPUTED_VALUE"""),640.1)</f>
        <v>640.1</v>
      </c>
      <c r="E244" s="21">
        <f>IFERROR(__xludf.DUMMYFUNCTION("""COMPUTED_VALUE"""),688.1113322890079)</f>
        <v>688.1113323</v>
      </c>
      <c r="F244" s="21">
        <f>IFERROR(__xludf.DUMMYFUNCTION("""COMPUTED_VALUE"""),578.6325)</f>
        <v>578.6325</v>
      </c>
      <c r="G244" s="21">
        <f>IFERROR(__xludf.DUMMYFUNCTION("""COMPUTED_VALUE"""),266.623557168784)</f>
        <v>266.6235572</v>
      </c>
    </row>
    <row r="245">
      <c r="A245" s="23">
        <f>IFERROR(__xludf.DUMMYFUNCTION("""COMPUTED_VALUE"""),44805.0)</f>
        <v>44805</v>
      </c>
      <c r="B245" s="21">
        <f>IFERROR(__xludf.DUMMYFUNCTION("""COMPUTED_VALUE"""),513.4888888888889)</f>
        <v>513.4888889</v>
      </c>
      <c r="C245" s="22">
        <f>IFERROR(__xludf.DUMMYFUNCTION("""COMPUTED_VALUE"""),416.2166666666667)</f>
        <v>416.2166667</v>
      </c>
      <c r="D245" s="22">
        <f>IFERROR(__xludf.DUMMYFUNCTION("""COMPUTED_VALUE"""),640.1)</f>
        <v>640.1</v>
      </c>
      <c r="E245" s="21">
        <f>IFERROR(__xludf.DUMMYFUNCTION("""COMPUTED_VALUE"""),695.7435826268982)</f>
        <v>695.7435826</v>
      </c>
      <c r="F245" s="21">
        <f>IFERROR(__xludf.DUMMYFUNCTION("""COMPUTED_VALUE"""),597.9975000000001)</f>
        <v>597.9975</v>
      </c>
      <c r="G245" s="21">
        <f>IFERROR(__xludf.DUMMYFUNCTION("""COMPUTED_VALUE"""),266.623557168784)</f>
        <v>266.6235572</v>
      </c>
    </row>
    <row r="246">
      <c r="A246" s="20">
        <f>IFERROR(__xludf.DUMMYFUNCTION("""COMPUTED_VALUE"""),44806.0)</f>
        <v>44806</v>
      </c>
      <c r="B246" s="21">
        <f>IFERROR(__xludf.DUMMYFUNCTION("""COMPUTED_VALUE"""),513.4888888888889)</f>
        <v>513.4888889</v>
      </c>
      <c r="C246" s="22">
        <f>IFERROR(__xludf.DUMMYFUNCTION("""COMPUTED_VALUE"""),416.2166666666667)</f>
        <v>416.2166667</v>
      </c>
      <c r="D246" s="22">
        <f>IFERROR(__xludf.DUMMYFUNCTION("""COMPUTED_VALUE"""),640.1)</f>
        <v>640.1</v>
      </c>
      <c r="E246" s="21">
        <f>IFERROR(__xludf.DUMMYFUNCTION("""COMPUTED_VALUE"""),668.020926353193)</f>
        <v>668.0209264</v>
      </c>
      <c r="F246" s="21">
        <f>IFERROR(__xludf.DUMMYFUNCTION("""COMPUTED_VALUE"""),617.3625000000001)</f>
        <v>617.3625</v>
      </c>
      <c r="G246" s="21">
        <f>IFERROR(__xludf.DUMMYFUNCTION("""COMPUTED_VALUE"""),266.623557168784)</f>
        <v>266.6235572</v>
      </c>
    </row>
    <row r="247">
      <c r="A247" s="20">
        <f>IFERROR(__xludf.DUMMYFUNCTION("""COMPUTED_VALUE"""),44807.0)</f>
        <v>44807</v>
      </c>
      <c r="B247" s="21">
        <f>IFERROR(__xludf.DUMMYFUNCTION("""COMPUTED_VALUE"""),513.4888888888889)</f>
        <v>513.4888889</v>
      </c>
      <c r="C247" s="22">
        <f>IFERROR(__xludf.DUMMYFUNCTION("""COMPUTED_VALUE"""),416.2166666666667)</f>
        <v>416.2166667</v>
      </c>
      <c r="D247" s="22">
        <f>IFERROR(__xludf.DUMMYFUNCTION("""COMPUTED_VALUE"""),640.1)</f>
        <v>640.1</v>
      </c>
      <c r="E247" s="21">
        <f>IFERROR(__xludf.DUMMYFUNCTION("""COMPUTED_VALUE"""),633.8757336837158)</f>
        <v>633.8757337</v>
      </c>
      <c r="F247" s="21">
        <f>IFERROR(__xludf.DUMMYFUNCTION("""COMPUTED_VALUE"""),617.3625000000001)</f>
        <v>617.3625</v>
      </c>
      <c r="G247" s="21">
        <f>IFERROR(__xludf.DUMMYFUNCTION("""COMPUTED_VALUE"""),266.623557168784)</f>
        <v>266.6235572</v>
      </c>
    </row>
    <row r="248">
      <c r="A248" s="20">
        <f>IFERROR(__xludf.DUMMYFUNCTION("""COMPUTED_VALUE"""),44808.0)</f>
        <v>44808</v>
      </c>
      <c r="B248" s="21">
        <f>IFERROR(__xludf.DUMMYFUNCTION("""COMPUTED_VALUE"""),513.4888888888889)</f>
        <v>513.4888889</v>
      </c>
      <c r="C248" s="22">
        <f>IFERROR(__xludf.DUMMYFUNCTION("""COMPUTED_VALUE"""),416.2166666666667)</f>
        <v>416.2166667</v>
      </c>
      <c r="D248" s="22">
        <f>IFERROR(__xludf.DUMMYFUNCTION("""COMPUTED_VALUE"""),640.1)</f>
        <v>640.1</v>
      </c>
      <c r="E248" s="21">
        <f>IFERROR(__xludf.DUMMYFUNCTION("""COMPUTED_VALUE"""),594.4346503797555)</f>
        <v>594.4346504</v>
      </c>
      <c r="F248" s="21">
        <f>IFERROR(__xludf.DUMMYFUNCTION("""COMPUTED_VALUE"""),617.3625000000001)</f>
        <v>617.3625</v>
      </c>
      <c r="G248" s="21">
        <f>IFERROR(__xludf.DUMMYFUNCTION("""COMPUTED_VALUE"""),266.623557168784)</f>
        <v>266.6235572</v>
      </c>
    </row>
    <row r="249">
      <c r="A249" s="20">
        <f>IFERROR(__xludf.DUMMYFUNCTION("""COMPUTED_VALUE"""),44809.0)</f>
        <v>44809</v>
      </c>
      <c r="B249" s="21">
        <f>IFERROR(__xludf.DUMMYFUNCTION("""COMPUTED_VALUE"""),499.37777777777774)</f>
        <v>499.3777778</v>
      </c>
      <c r="C249" s="22">
        <f>IFERROR(__xludf.DUMMYFUNCTION("""COMPUTED_VALUE"""),352.7166666666667)</f>
        <v>352.7166667</v>
      </c>
      <c r="D249" s="22">
        <f>IFERROR(__xludf.DUMMYFUNCTION("""COMPUTED_VALUE"""),640.1)</f>
        <v>640.1</v>
      </c>
      <c r="E249" s="21">
        <f>IFERROR(__xludf.DUMMYFUNCTION("""COMPUTED_VALUE"""),554.5687730440432)</f>
        <v>554.568773</v>
      </c>
      <c r="F249" s="21">
        <f>IFERROR(__xludf.DUMMYFUNCTION("""COMPUTED_VALUE"""),617.3625000000001)</f>
        <v>617.3625</v>
      </c>
      <c r="G249" s="21">
        <f>IFERROR(__xludf.DUMMYFUNCTION("""COMPUTED_VALUE"""),266.623557168784)</f>
        <v>266.6235572</v>
      </c>
    </row>
    <row r="250">
      <c r="A250" s="20">
        <f>IFERROR(__xludf.DUMMYFUNCTION("""COMPUTED_VALUE"""),44810.0)</f>
        <v>44810</v>
      </c>
      <c r="B250" s="21">
        <f>IFERROR(__xludf.DUMMYFUNCTION("""COMPUTED_VALUE"""),499.37777777777774)</f>
        <v>499.3777778</v>
      </c>
      <c r="C250" s="22">
        <f>IFERROR(__xludf.DUMMYFUNCTION("""COMPUTED_VALUE"""),352.7166666666667)</f>
        <v>352.7166667</v>
      </c>
      <c r="D250" s="22">
        <f>IFERROR(__xludf.DUMMYFUNCTION("""COMPUTED_VALUE"""),640.1)</f>
        <v>640.1</v>
      </c>
      <c r="E250" s="21">
        <f>IFERROR(__xludf.DUMMYFUNCTION("""COMPUTED_VALUE"""),532.1755673028584)</f>
        <v>532.1755673</v>
      </c>
      <c r="F250" s="21">
        <f>IFERROR(__xludf.DUMMYFUNCTION("""COMPUTED_VALUE"""),617.3625000000001)</f>
        <v>617.3625</v>
      </c>
      <c r="G250" s="21">
        <f>IFERROR(__xludf.DUMMYFUNCTION("""COMPUTED_VALUE"""),266.623557168784)</f>
        <v>266.6235572</v>
      </c>
    </row>
    <row r="251">
      <c r="A251" s="20">
        <f>IFERROR(__xludf.DUMMYFUNCTION("""COMPUTED_VALUE"""),44811.0)</f>
        <v>44811</v>
      </c>
      <c r="B251" s="21">
        <f>IFERROR(__xludf.DUMMYFUNCTION("""COMPUTED_VALUE"""),499.37777777777774)</f>
        <v>499.3777778</v>
      </c>
      <c r="C251" s="22">
        <f>IFERROR(__xludf.DUMMYFUNCTION("""COMPUTED_VALUE"""),352.7166666666667)</f>
        <v>352.7166667</v>
      </c>
      <c r="D251" s="22">
        <f>IFERROR(__xludf.DUMMYFUNCTION("""COMPUTED_VALUE"""),640.1)</f>
        <v>640.1</v>
      </c>
      <c r="E251" s="21">
        <f>IFERROR(__xludf.DUMMYFUNCTION("""COMPUTED_VALUE"""),513.8574251455879)</f>
        <v>513.8574251</v>
      </c>
      <c r="F251" s="21">
        <f>IFERROR(__xludf.DUMMYFUNCTION("""COMPUTED_VALUE"""),617.3625000000001)</f>
        <v>617.3625</v>
      </c>
      <c r="G251" s="21">
        <f>IFERROR(__xludf.DUMMYFUNCTION("""COMPUTED_VALUE"""),266.623557168784)</f>
        <v>266.6235572</v>
      </c>
    </row>
    <row r="252">
      <c r="A252" s="20">
        <f>IFERROR(__xludf.DUMMYFUNCTION("""COMPUTED_VALUE"""),44812.0)</f>
        <v>44812</v>
      </c>
      <c r="B252" s="21">
        <f>IFERROR(__xludf.DUMMYFUNCTION("""COMPUTED_VALUE"""),499.37777777777774)</f>
        <v>499.3777778</v>
      </c>
      <c r="C252" s="22">
        <f>IFERROR(__xludf.DUMMYFUNCTION("""COMPUTED_VALUE"""),352.7166666666667)</f>
        <v>352.7166667</v>
      </c>
      <c r="D252" s="22">
        <f>IFERROR(__xludf.DUMMYFUNCTION("""COMPUTED_VALUE"""),640.1)</f>
        <v>640.1</v>
      </c>
      <c r="E252" s="21">
        <f>IFERROR(__xludf.DUMMYFUNCTION("""COMPUTED_VALUE"""),490.1822192214724)</f>
        <v>490.1822192</v>
      </c>
      <c r="F252" s="21">
        <f>IFERROR(__xludf.DUMMYFUNCTION("""COMPUTED_VALUE"""),617.3625)</f>
        <v>617.3625</v>
      </c>
      <c r="G252" s="21">
        <f>IFERROR(__xludf.DUMMYFUNCTION("""COMPUTED_VALUE"""),266.623557168784)</f>
        <v>266.6235572</v>
      </c>
    </row>
    <row r="253">
      <c r="A253" s="20">
        <f>IFERROR(__xludf.DUMMYFUNCTION("""COMPUTED_VALUE"""),44813.0)</f>
        <v>44813</v>
      </c>
      <c r="B253" s="21">
        <f>IFERROR(__xludf.DUMMYFUNCTION("""COMPUTED_VALUE"""),499.37777777777774)</f>
        <v>499.3777778</v>
      </c>
      <c r="C253" s="22">
        <f>IFERROR(__xludf.DUMMYFUNCTION("""COMPUTED_VALUE"""),352.7166666666667)</f>
        <v>352.7166667</v>
      </c>
      <c r="D253" s="22">
        <f>IFERROR(__xludf.DUMMYFUNCTION("""COMPUTED_VALUE"""),640.1)</f>
        <v>640.1</v>
      </c>
      <c r="E253" s="21">
        <f>IFERROR(__xludf.DUMMYFUNCTION("""COMPUTED_VALUE"""),478.4717650237646)</f>
        <v>478.471765</v>
      </c>
      <c r="F253" s="21">
        <f>IFERROR(__xludf.DUMMYFUNCTION("""COMPUTED_VALUE"""),617.3625)</f>
        <v>617.3625</v>
      </c>
      <c r="G253" s="21">
        <f>IFERROR(__xludf.DUMMYFUNCTION("""COMPUTED_VALUE"""),266.623557168784)</f>
        <v>266.6235572</v>
      </c>
    </row>
    <row r="254">
      <c r="A254" s="20">
        <f>IFERROR(__xludf.DUMMYFUNCTION("""COMPUTED_VALUE"""),44814.0)</f>
        <v>44814</v>
      </c>
      <c r="B254" s="21">
        <f>IFERROR(__xludf.DUMMYFUNCTION("""COMPUTED_VALUE"""),499.37777777777774)</f>
        <v>499.3777778</v>
      </c>
      <c r="C254" s="22">
        <f>IFERROR(__xludf.DUMMYFUNCTION("""COMPUTED_VALUE"""),352.7166666666667)</f>
        <v>352.7166667</v>
      </c>
      <c r="D254" s="22">
        <f>IFERROR(__xludf.DUMMYFUNCTION("""COMPUTED_VALUE"""),640.1)</f>
        <v>640.1</v>
      </c>
      <c r="E254" s="21">
        <f>IFERROR(__xludf.DUMMYFUNCTION("""COMPUTED_VALUE"""),471.41283199752877)</f>
        <v>471.412832</v>
      </c>
      <c r="F254" s="21">
        <f>IFERROR(__xludf.DUMMYFUNCTION("""COMPUTED_VALUE"""),617.3625)</f>
        <v>617.3625</v>
      </c>
      <c r="G254" s="21">
        <f>IFERROR(__xludf.DUMMYFUNCTION("""COMPUTED_VALUE"""),266.623557168784)</f>
        <v>266.6235572</v>
      </c>
    </row>
    <row r="255">
      <c r="A255" s="20">
        <f>IFERROR(__xludf.DUMMYFUNCTION("""COMPUTED_VALUE"""),44815.0)</f>
        <v>44815</v>
      </c>
      <c r="B255" s="21">
        <f>IFERROR(__xludf.DUMMYFUNCTION("""COMPUTED_VALUE"""),499.37777777777774)</f>
        <v>499.3777778</v>
      </c>
      <c r="C255" s="22">
        <f>IFERROR(__xludf.DUMMYFUNCTION("""COMPUTED_VALUE"""),352.7166666666667)</f>
        <v>352.7166667</v>
      </c>
      <c r="D255" s="22">
        <f>IFERROR(__xludf.DUMMYFUNCTION("""COMPUTED_VALUE"""),640.1)</f>
        <v>640.1</v>
      </c>
      <c r="E255" s="21">
        <f>IFERROR(__xludf.DUMMYFUNCTION("""COMPUTED_VALUE"""),472.9509452784941)</f>
        <v>472.9509453</v>
      </c>
      <c r="F255" s="21">
        <f>IFERROR(__xludf.DUMMYFUNCTION("""COMPUTED_VALUE"""),617.3625)</f>
        <v>617.3625</v>
      </c>
      <c r="G255" s="21">
        <f>IFERROR(__xludf.DUMMYFUNCTION("""COMPUTED_VALUE"""),266.623557168784)</f>
        <v>266.6235572</v>
      </c>
    </row>
    <row r="256">
      <c r="A256" s="20">
        <f>IFERROR(__xludf.DUMMYFUNCTION("""COMPUTED_VALUE"""),44816.0)</f>
        <v>44816</v>
      </c>
      <c r="B256" s="21">
        <f>IFERROR(__xludf.DUMMYFUNCTION("""COMPUTED_VALUE"""),499.37777777777774)</f>
        <v>499.3777778</v>
      </c>
      <c r="C256" s="22">
        <f>IFERROR(__xludf.DUMMYFUNCTION("""COMPUTED_VALUE"""),352.7166666666667)</f>
        <v>352.7166667</v>
      </c>
      <c r="D256" s="22">
        <f>IFERROR(__xludf.DUMMYFUNCTION("""COMPUTED_VALUE"""),640.1)</f>
        <v>640.1</v>
      </c>
      <c r="E256" s="21">
        <f>IFERROR(__xludf.DUMMYFUNCTION("""COMPUTED_VALUE"""),438.8993482093509)</f>
        <v>438.8993482</v>
      </c>
      <c r="F256" s="21">
        <f>IFERROR(__xludf.DUMMYFUNCTION("""COMPUTED_VALUE"""),617.3625)</f>
        <v>617.3625</v>
      </c>
      <c r="G256" s="21">
        <f>IFERROR(__xludf.DUMMYFUNCTION("""COMPUTED_VALUE"""),266.623557168784)</f>
        <v>266.6235572</v>
      </c>
    </row>
    <row r="257">
      <c r="A257" s="20">
        <f>IFERROR(__xludf.DUMMYFUNCTION("""COMPUTED_VALUE"""),44817.0)</f>
        <v>44817</v>
      </c>
      <c r="B257" s="21">
        <f>IFERROR(__xludf.DUMMYFUNCTION("""COMPUTED_VALUE"""),499.37777777777774)</f>
        <v>499.3777778</v>
      </c>
      <c r="C257" s="22">
        <f>IFERROR(__xludf.DUMMYFUNCTION("""COMPUTED_VALUE"""),352.7166666666667)</f>
        <v>352.7166667</v>
      </c>
      <c r="D257" s="22">
        <f>IFERROR(__xludf.DUMMYFUNCTION("""COMPUTED_VALUE"""),640.1)</f>
        <v>640.1</v>
      </c>
      <c r="E257" s="21">
        <f>IFERROR(__xludf.DUMMYFUNCTION("""COMPUTED_VALUE"""),425.4759203751749)</f>
        <v>425.4759204</v>
      </c>
      <c r="F257" s="21">
        <f>IFERROR(__xludf.DUMMYFUNCTION("""COMPUTED_VALUE"""),617.3625)</f>
        <v>617.3625</v>
      </c>
      <c r="G257" s="21">
        <f>IFERROR(__xludf.DUMMYFUNCTION("""COMPUTED_VALUE"""),266.623557168784)</f>
        <v>266.6235572</v>
      </c>
    </row>
    <row r="258">
      <c r="A258" s="23">
        <f>IFERROR(__xludf.DUMMYFUNCTION("""COMPUTED_VALUE"""),44818.0)</f>
        <v>44818</v>
      </c>
      <c r="B258" s="21">
        <f>IFERROR(__xludf.DUMMYFUNCTION("""COMPUTED_VALUE"""),499.37777777777774)</f>
        <v>499.3777778</v>
      </c>
      <c r="C258" s="22">
        <f>IFERROR(__xludf.DUMMYFUNCTION("""COMPUTED_VALUE"""),352.7166666666667)</f>
        <v>352.7166667</v>
      </c>
      <c r="D258" s="22">
        <f>IFERROR(__xludf.DUMMYFUNCTION("""COMPUTED_VALUE"""),640.1)</f>
        <v>640.1</v>
      </c>
      <c r="E258" s="21">
        <f>IFERROR(__xludf.DUMMYFUNCTION("""COMPUTED_VALUE"""),423.50030092795345)</f>
        <v>423.5003009</v>
      </c>
      <c r="F258" s="21">
        <f>IFERROR(__xludf.DUMMYFUNCTION("""COMPUTED_VALUE"""),617.3625000000001)</f>
        <v>617.3625</v>
      </c>
      <c r="G258" s="21">
        <f>IFERROR(__xludf.DUMMYFUNCTION("""COMPUTED_VALUE"""),266.623557168784)</f>
        <v>266.6235572</v>
      </c>
    </row>
    <row r="259">
      <c r="A259" s="23">
        <f>IFERROR(__xludf.DUMMYFUNCTION("""COMPUTED_VALUE"""),44819.0)</f>
        <v>44819</v>
      </c>
      <c r="B259" s="21">
        <f>IFERROR(__xludf.DUMMYFUNCTION("""COMPUTED_VALUE"""),499.37777777777774)</f>
        <v>499.3777778</v>
      </c>
      <c r="C259" s="22">
        <f>IFERROR(__xludf.DUMMYFUNCTION("""COMPUTED_VALUE"""),352.7166666666667)</f>
        <v>352.7166667</v>
      </c>
      <c r="D259" s="22">
        <f>IFERROR(__xludf.DUMMYFUNCTION("""COMPUTED_VALUE"""),640.1)</f>
        <v>640.1</v>
      </c>
      <c r="E259" s="21">
        <f>IFERROR(__xludf.DUMMYFUNCTION("""COMPUTED_VALUE"""),415.88352688962095)</f>
        <v>415.8835269</v>
      </c>
      <c r="F259" s="21">
        <f>IFERROR(__xludf.DUMMYFUNCTION("""COMPUTED_VALUE"""),617.3625000000001)</f>
        <v>617.3625</v>
      </c>
      <c r="G259" s="21">
        <f>IFERROR(__xludf.DUMMYFUNCTION("""COMPUTED_VALUE"""),266.623557168784)</f>
        <v>266.6235572</v>
      </c>
    </row>
    <row r="260">
      <c r="A260" s="23">
        <f>IFERROR(__xludf.DUMMYFUNCTION("""COMPUTED_VALUE"""),44820.0)</f>
        <v>44820</v>
      </c>
      <c r="B260" s="21">
        <f>IFERROR(__xludf.DUMMYFUNCTION("""COMPUTED_VALUE"""),499.37777777777774)</f>
        <v>499.3777778</v>
      </c>
      <c r="C260" s="22">
        <f>IFERROR(__xludf.DUMMYFUNCTION("""COMPUTED_VALUE"""),352.7166666666667)</f>
        <v>352.7166667</v>
      </c>
      <c r="D260" s="22">
        <f>IFERROR(__xludf.DUMMYFUNCTION("""COMPUTED_VALUE"""),640.1)</f>
        <v>640.1</v>
      </c>
      <c r="E260" s="21">
        <f>IFERROR(__xludf.DUMMYFUNCTION("""COMPUTED_VALUE"""),421.8155619609583)</f>
        <v>421.815562</v>
      </c>
      <c r="F260" s="21">
        <f>IFERROR(__xludf.DUMMYFUNCTION("""COMPUTED_VALUE"""),617.3625000000001)</f>
        <v>617.3625</v>
      </c>
      <c r="G260" s="21">
        <f>IFERROR(__xludf.DUMMYFUNCTION("""COMPUTED_VALUE"""),266.623557168784)</f>
        <v>266.6235572</v>
      </c>
    </row>
    <row r="261">
      <c r="A261" s="23">
        <f>IFERROR(__xludf.DUMMYFUNCTION("""COMPUTED_VALUE"""),44821.0)</f>
        <v>44821</v>
      </c>
      <c r="B261" s="21">
        <f>IFERROR(__xludf.DUMMYFUNCTION("""COMPUTED_VALUE"""),499.37777777777774)</f>
        <v>499.3777778</v>
      </c>
      <c r="C261" s="22">
        <f>IFERROR(__xludf.DUMMYFUNCTION("""COMPUTED_VALUE"""),352.7166666666667)</f>
        <v>352.7166667</v>
      </c>
      <c r="D261" s="22">
        <f>IFERROR(__xludf.DUMMYFUNCTION("""COMPUTED_VALUE"""),640.1)</f>
        <v>640.1</v>
      </c>
      <c r="E261" s="21">
        <f>IFERROR(__xludf.DUMMYFUNCTION("""COMPUTED_VALUE"""),411.97056741716585)</f>
        <v>411.9705674</v>
      </c>
      <c r="F261" s="21">
        <f>IFERROR(__xludf.DUMMYFUNCTION("""COMPUTED_VALUE"""),617.3625000000001)</f>
        <v>617.3625</v>
      </c>
      <c r="G261" s="21">
        <f>IFERROR(__xludf.DUMMYFUNCTION("""COMPUTED_VALUE"""),266.623557168784)</f>
        <v>266.6235572</v>
      </c>
    </row>
    <row r="262">
      <c r="A262" s="23">
        <f>IFERROR(__xludf.DUMMYFUNCTION("""COMPUTED_VALUE"""),44822.0)</f>
        <v>44822</v>
      </c>
      <c r="B262" s="21">
        <f>IFERROR(__xludf.DUMMYFUNCTION("""COMPUTED_VALUE"""),499.37777777777774)</f>
        <v>499.3777778</v>
      </c>
      <c r="C262" s="22">
        <f>IFERROR(__xludf.DUMMYFUNCTION("""COMPUTED_VALUE"""),352.7166666666667)</f>
        <v>352.7166667</v>
      </c>
      <c r="D262" s="22">
        <f>IFERROR(__xludf.DUMMYFUNCTION("""COMPUTED_VALUE"""),640.1)</f>
        <v>640.1</v>
      </c>
      <c r="E262" s="21">
        <f>IFERROR(__xludf.DUMMYFUNCTION("""COMPUTED_VALUE"""),397.3122536929474)</f>
        <v>397.3122537</v>
      </c>
      <c r="F262" s="21">
        <f>IFERROR(__xludf.DUMMYFUNCTION("""COMPUTED_VALUE"""),617.3625000000001)</f>
        <v>617.3625</v>
      </c>
      <c r="G262" s="21">
        <f>IFERROR(__xludf.DUMMYFUNCTION("""COMPUTED_VALUE"""),266.623557168784)</f>
        <v>266.6235572</v>
      </c>
    </row>
    <row r="263">
      <c r="A263" s="23">
        <f>IFERROR(__xludf.DUMMYFUNCTION("""COMPUTED_VALUE"""),44823.0)</f>
        <v>44823</v>
      </c>
      <c r="B263" s="21">
        <f>IFERROR(__xludf.DUMMYFUNCTION("""COMPUTED_VALUE"""),582.58)</f>
        <v>582.58</v>
      </c>
      <c r="C263" s="22">
        <f>IFERROR(__xludf.DUMMYFUNCTION("""COMPUTED_VALUE"""),471.9)</f>
        <v>471.9</v>
      </c>
      <c r="D263" s="22">
        <f>IFERROR(__xludf.DUMMYFUNCTION("""COMPUTED_VALUE"""),635.1999999999999)</f>
        <v>635.2</v>
      </c>
      <c r="E263" s="21">
        <f>IFERROR(__xludf.DUMMYFUNCTION("""COMPUTED_VALUE"""),417.053206660095)</f>
        <v>417.0532067</v>
      </c>
      <c r="F263" s="21">
        <f>IFERROR(__xludf.DUMMYFUNCTION("""COMPUTED_VALUE"""),617.3625000000001)</f>
        <v>617.3625</v>
      </c>
      <c r="G263" s="21">
        <f>IFERROR(__xludf.DUMMYFUNCTION("""COMPUTED_VALUE"""),266.623557168784)</f>
        <v>266.6235572</v>
      </c>
    </row>
    <row r="264">
      <c r="A264" s="23">
        <f>IFERROR(__xludf.DUMMYFUNCTION("""COMPUTED_VALUE"""),44824.0)</f>
        <v>44824</v>
      </c>
      <c r="B264" s="21">
        <f>IFERROR(__xludf.DUMMYFUNCTION("""COMPUTED_VALUE"""),582.58)</f>
        <v>582.58</v>
      </c>
      <c r="C264" s="22">
        <f>IFERROR(__xludf.DUMMYFUNCTION("""COMPUTED_VALUE"""),471.9)</f>
        <v>471.9</v>
      </c>
      <c r="D264" s="22">
        <f>IFERROR(__xludf.DUMMYFUNCTION("""COMPUTED_VALUE"""),635.1999999999999)</f>
        <v>635.2</v>
      </c>
      <c r="E264" s="21">
        <f>IFERROR(__xludf.DUMMYFUNCTION("""COMPUTED_VALUE"""),407.83505223379416)</f>
        <v>407.8350522</v>
      </c>
      <c r="F264" s="21">
        <f>IFERROR(__xludf.DUMMYFUNCTION("""COMPUTED_VALUE"""),617.3625000000001)</f>
        <v>617.3625</v>
      </c>
      <c r="G264" s="21">
        <f>IFERROR(__xludf.DUMMYFUNCTION("""COMPUTED_VALUE"""),266.623557168784)</f>
        <v>266.6235572</v>
      </c>
    </row>
    <row r="265">
      <c r="A265" s="23">
        <f>IFERROR(__xludf.DUMMYFUNCTION("""COMPUTED_VALUE"""),44825.0)</f>
        <v>44825</v>
      </c>
      <c r="B265" s="21">
        <f>IFERROR(__xludf.DUMMYFUNCTION("""COMPUTED_VALUE"""),582.58)</f>
        <v>582.58</v>
      </c>
      <c r="C265" s="22">
        <f>IFERROR(__xludf.DUMMYFUNCTION("""COMPUTED_VALUE"""),471.9)</f>
        <v>471.9</v>
      </c>
      <c r="D265" s="22">
        <f>IFERROR(__xludf.DUMMYFUNCTION("""COMPUTED_VALUE"""),635.1999999999999)</f>
        <v>635.2</v>
      </c>
      <c r="E265" s="21">
        <f>IFERROR(__xludf.DUMMYFUNCTION("""COMPUTED_VALUE"""),397.19802505999553)</f>
        <v>397.1980251</v>
      </c>
      <c r="F265" s="21">
        <f>IFERROR(__xludf.DUMMYFUNCTION("""COMPUTED_VALUE"""),617.3625000000001)</f>
        <v>617.3625</v>
      </c>
      <c r="G265" s="21">
        <f>IFERROR(__xludf.DUMMYFUNCTION("""COMPUTED_VALUE"""),266.623557168784)</f>
        <v>266.6235572</v>
      </c>
    </row>
    <row r="266">
      <c r="A266" s="23">
        <f>IFERROR(__xludf.DUMMYFUNCTION("""COMPUTED_VALUE"""),44826.0)</f>
        <v>44826</v>
      </c>
      <c r="B266" s="21">
        <f>IFERROR(__xludf.DUMMYFUNCTION("""COMPUTED_VALUE"""),582.58)</f>
        <v>582.58</v>
      </c>
      <c r="C266" s="22">
        <f>IFERROR(__xludf.DUMMYFUNCTION("""COMPUTED_VALUE"""),471.9)</f>
        <v>471.9</v>
      </c>
      <c r="D266" s="22">
        <f>IFERROR(__xludf.DUMMYFUNCTION("""COMPUTED_VALUE"""),635.1999999999999)</f>
        <v>635.2</v>
      </c>
      <c r="E266" s="21">
        <f>IFERROR(__xludf.DUMMYFUNCTION("""COMPUTED_VALUE"""),392.5584178704639)</f>
        <v>392.5584179</v>
      </c>
      <c r="F266" s="21">
        <f>IFERROR(__xludf.DUMMYFUNCTION("""COMPUTED_VALUE"""),617.3625000000001)</f>
        <v>617.3625</v>
      </c>
      <c r="G266" s="21">
        <f>IFERROR(__xludf.DUMMYFUNCTION("""COMPUTED_VALUE"""),266.623557168784)</f>
        <v>266.6235572</v>
      </c>
    </row>
    <row r="267">
      <c r="A267" s="23">
        <f>IFERROR(__xludf.DUMMYFUNCTION("""COMPUTED_VALUE"""),44827.0)</f>
        <v>44827</v>
      </c>
      <c r="B267" s="21">
        <f>IFERROR(__xludf.DUMMYFUNCTION("""COMPUTED_VALUE"""),582.58)</f>
        <v>582.58</v>
      </c>
      <c r="C267" s="22">
        <f>IFERROR(__xludf.DUMMYFUNCTION("""COMPUTED_VALUE"""),471.9)</f>
        <v>471.9</v>
      </c>
      <c r="D267" s="22">
        <f>IFERROR(__xludf.DUMMYFUNCTION("""COMPUTED_VALUE"""),635.1999999999999)</f>
        <v>635.2</v>
      </c>
      <c r="E267" s="21">
        <f>IFERROR(__xludf.DUMMYFUNCTION("""COMPUTED_VALUE"""),384.20494820976637)</f>
        <v>384.2049482</v>
      </c>
      <c r="F267" s="21">
        <f>IFERROR(__xludf.DUMMYFUNCTION("""COMPUTED_VALUE"""),617.3625000000001)</f>
        <v>617.3625</v>
      </c>
      <c r="G267" s="21">
        <f>IFERROR(__xludf.DUMMYFUNCTION("""COMPUTED_VALUE"""),266.623557168784)</f>
        <v>266.6235572</v>
      </c>
    </row>
    <row r="268">
      <c r="A268" s="23">
        <f>IFERROR(__xludf.DUMMYFUNCTION("""COMPUTED_VALUE"""),44828.0)</f>
        <v>44828</v>
      </c>
      <c r="B268" s="21">
        <f>IFERROR(__xludf.DUMMYFUNCTION("""COMPUTED_VALUE"""),582.58)</f>
        <v>582.58</v>
      </c>
      <c r="C268" s="22">
        <f>IFERROR(__xludf.DUMMYFUNCTION("""COMPUTED_VALUE"""),471.9)</f>
        <v>471.9</v>
      </c>
      <c r="D268" s="22">
        <f>IFERROR(__xludf.DUMMYFUNCTION("""COMPUTED_VALUE"""),635.1999999999999)</f>
        <v>635.2</v>
      </c>
      <c r="E268" s="21">
        <f>IFERROR(__xludf.DUMMYFUNCTION("""COMPUTED_VALUE"""),386.28027350533057)</f>
        <v>386.2802735</v>
      </c>
      <c r="F268" s="21">
        <f>IFERROR(__xludf.DUMMYFUNCTION("""COMPUTED_VALUE"""),617.3625000000001)</f>
        <v>617.3625</v>
      </c>
      <c r="G268" s="21">
        <f>IFERROR(__xludf.DUMMYFUNCTION("""COMPUTED_VALUE"""),266.623557168784)</f>
        <v>266.6235572</v>
      </c>
    </row>
    <row r="269">
      <c r="A269" s="23">
        <f>IFERROR(__xludf.DUMMYFUNCTION("""COMPUTED_VALUE"""),44829.0)</f>
        <v>44829</v>
      </c>
      <c r="B269" s="21">
        <f>IFERROR(__xludf.DUMMYFUNCTION("""COMPUTED_VALUE"""),582.58)</f>
        <v>582.58</v>
      </c>
      <c r="C269" s="22">
        <f>IFERROR(__xludf.DUMMYFUNCTION("""COMPUTED_VALUE"""),471.9)</f>
        <v>471.9</v>
      </c>
      <c r="D269" s="22">
        <f>IFERROR(__xludf.DUMMYFUNCTION("""COMPUTED_VALUE"""),635.1999999999999)</f>
        <v>635.2</v>
      </c>
      <c r="E269" s="21">
        <f>IFERROR(__xludf.DUMMYFUNCTION("""COMPUTED_VALUE"""),389.1788913485622)</f>
        <v>389.1788913</v>
      </c>
      <c r="F269" s="21">
        <f>IFERROR(__xludf.DUMMYFUNCTION("""COMPUTED_VALUE"""),617.3625000000001)</f>
        <v>617.3625</v>
      </c>
      <c r="G269" s="21">
        <f>IFERROR(__xludf.DUMMYFUNCTION("""COMPUTED_VALUE"""),266.623557168784)</f>
        <v>266.6235572</v>
      </c>
    </row>
    <row r="270">
      <c r="A270" s="23">
        <f>IFERROR(__xludf.DUMMYFUNCTION("""COMPUTED_VALUE"""),44830.0)</f>
        <v>44830</v>
      </c>
      <c r="B270" s="21">
        <f>IFERROR(__xludf.DUMMYFUNCTION("""COMPUTED_VALUE"""),570.4666666666666)</f>
        <v>570.4666667</v>
      </c>
      <c r="C270" s="22">
        <f>IFERROR(__xludf.DUMMYFUNCTION("""COMPUTED_VALUE"""),478.3)</f>
        <v>478.3</v>
      </c>
      <c r="D270" s="22">
        <f>IFERROR(__xludf.DUMMYFUNCTION("""COMPUTED_VALUE"""),616.55)</f>
        <v>616.55</v>
      </c>
      <c r="E270" s="21">
        <f>IFERROR(__xludf.DUMMYFUNCTION("""COMPUTED_VALUE"""),386.9933453566388)</f>
        <v>386.9933454</v>
      </c>
      <c r="F270" s="21">
        <f>IFERROR(__xludf.DUMMYFUNCTION("""COMPUTED_VALUE"""),617.3625000000001)</f>
        <v>617.3625</v>
      </c>
      <c r="G270" s="21">
        <f>IFERROR(__xludf.DUMMYFUNCTION("""COMPUTED_VALUE"""),266.623557168784)</f>
        <v>266.6235572</v>
      </c>
    </row>
    <row r="271">
      <c r="A271" s="23">
        <f>IFERROR(__xludf.DUMMYFUNCTION("""COMPUTED_VALUE"""),44831.0)</f>
        <v>44831</v>
      </c>
      <c r="B271" s="21">
        <f>IFERROR(__xludf.DUMMYFUNCTION("""COMPUTED_VALUE"""),570.4666666666666)</f>
        <v>570.4666667</v>
      </c>
      <c r="C271" s="22">
        <f>IFERROR(__xludf.DUMMYFUNCTION("""COMPUTED_VALUE"""),478.3)</f>
        <v>478.3</v>
      </c>
      <c r="D271" s="22">
        <f>IFERROR(__xludf.DUMMYFUNCTION("""COMPUTED_VALUE"""),616.55)</f>
        <v>616.55</v>
      </c>
      <c r="E271" s="21">
        <f>IFERROR(__xludf.DUMMYFUNCTION("""COMPUTED_VALUE"""),384.5629297534209)</f>
        <v>384.5629298</v>
      </c>
      <c r="F271" s="21">
        <f>IFERROR(__xludf.DUMMYFUNCTION("""COMPUTED_VALUE"""),617.3625)</f>
        <v>617.3625</v>
      </c>
      <c r="G271" s="21">
        <f>IFERROR(__xludf.DUMMYFUNCTION("""COMPUTED_VALUE"""),266.623557168784)</f>
        <v>266.6235572</v>
      </c>
    </row>
    <row r="272">
      <c r="A272" s="23">
        <f>IFERROR(__xludf.DUMMYFUNCTION("""COMPUTED_VALUE"""),44832.0)</f>
        <v>44832</v>
      </c>
      <c r="B272" s="21">
        <f>IFERROR(__xludf.DUMMYFUNCTION("""COMPUTED_VALUE"""),570.4666666666666)</f>
        <v>570.4666667</v>
      </c>
      <c r="C272" s="22">
        <f>IFERROR(__xludf.DUMMYFUNCTION("""COMPUTED_VALUE"""),478.3)</f>
        <v>478.3</v>
      </c>
      <c r="D272" s="22">
        <f>IFERROR(__xludf.DUMMYFUNCTION("""COMPUTED_VALUE"""),616.55)</f>
        <v>616.55</v>
      </c>
      <c r="E272" s="21">
        <f>IFERROR(__xludf.DUMMYFUNCTION("""COMPUTED_VALUE"""),379.97005997208083)</f>
        <v>379.97006</v>
      </c>
      <c r="F272" s="21">
        <f>IFERROR(__xludf.DUMMYFUNCTION("""COMPUTED_VALUE"""),617.3625)</f>
        <v>617.3625</v>
      </c>
      <c r="G272" s="21">
        <f>IFERROR(__xludf.DUMMYFUNCTION("""COMPUTED_VALUE"""),266.623557168784)</f>
        <v>266.6235572</v>
      </c>
    </row>
    <row r="273">
      <c r="A273" s="23">
        <f>IFERROR(__xludf.DUMMYFUNCTION("""COMPUTED_VALUE"""),44833.0)</f>
        <v>44833</v>
      </c>
      <c r="B273" s="21">
        <f>IFERROR(__xludf.DUMMYFUNCTION("""COMPUTED_VALUE"""),570.4666666666666)</f>
        <v>570.4666667</v>
      </c>
      <c r="C273" s="22">
        <f>IFERROR(__xludf.DUMMYFUNCTION("""COMPUTED_VALUE"""),478.3)</f>
        <v>478.3</v>
      </c>
      <c r="D273" s="22">
        <f>IFERROR(__xludf.DUMMYFUNCTION("""COMPUTED_VALUE"""),616.55)</f>
        <v>616.55</v>
      </c>
      <c r="E273" s="21">
        <f>IFERROR(__xludf.DUMMYFUNCTION("""COMPUTED_VALUE"""),383.3491628372134)</f>
        <v>383.3491628</v>
      </c>
      <c r="F273" s="21">
        <f>IFERROR(__xludf.DUMMYFUNCTION("""COMPUTED_VALUE"""),579.6195)</f>
        <v>579.6195</v>
      </c>
      <c r="G273" s="21">
        <f>IFERROR(__xludf.DUMMYFUNCTION("""COMPUTED_VALUE"""),266.623557168784)</f>
        <v>266.6235572</v>
      </c>
    </row>
    <row r="274">
      <c r="A274" s="23">
        <f>IFERROR(__xludf.DUMMYFUNCTION("""COMPUTED_VALUE"""),44834.0)</f>
        <v>44834</v>
      </c>
      <c r="B274" s="21">
        <f>IFERROR(__xludf.DUMMYFUNCTION("""COMPUTED_VALUE"""),570.4666666666666)</f>
        <v>570.4666667</v>
      </c>
      <c r="C274" s="22">
        <f>IFERROR(__xludf.DUMMYFUNCTION("""COMPUTED_VALUE"""),478.3)</f>
        <v>478.3</v>
      </c>
      <c r="D274" s="22">
        <f>IFERROR(__xludf.DUMMYFUNCTION("""COMPUTED_VALUE"""),616.55)</f>
        <v>616.55</v>
      </c>
      <c r="E274" s="21">
        <f>IFERROR(__xludf.DUMMYFUNCTION("""COMPUTED_VALUE"""),377.54926851239196)</f>
        <v>377.5492685</v>
      </c>
      <c r="F274" s="21">
        <f>IFERROR(__xludf.DUMMYFUNCTION("""COMPUTED_VALUE"""),541.8765)</f>
        <v>541.8765</v>
      </c>
      <c r="G274" s="21">
        <f>IFERROR(__xludf.DUMMYFUNCTION("""COMPUTED_VALUE"""),266.623557168784)</f>
        <v>266.6235572</v>
      </c>
    </row>
    <row r="275">
      <c r="A275" s="23">
        <f>IFERROR(__xludf.DUMMYFUNCTION("""COMPUTED_VALUE"""),44835.0)</f>
        <v>44835</v>
      </c>
      <c r="B275" s="21">
        <f>IFERROR(__xludf.DUMMYFUNCTION("""COMPUTED_VALUE"""),570.4666666666666)</f>
        <v>570.4666667</v>
      </c>
      <c r="C275" s="22">
        <f>IFERROR(__xludf.DUMMYFUNCTION("""COMPUTED_VALUE"""),478.3)</f>
        <v>478.3</v>
      </c>
      <c r="D275" s="22">
        <f>IFERROR(__xludf.DUMMYFUNCTION("""COMPUTED_VALUE"""),616.55)</f>
        <v>616.55</v>
      </c>
      <c r="E275" s="21">
        <f>IFERROR(__xludf.DUMMYFUNCTION("""COMPUTED_VALUE"""),359.9871033806845)</f>
        <v>359.9871034</v>
      </c>
      <c r="F275" s="21">
        <f>IFERROR(__xludf.DUMMYFUNCTION("""COMPUTED_VALUE"""),541.8765)</f>
        <v>541.8765</v>
      </c>
      <c r="G275" s="21">
        <f>IFERROR(__xludf.DUMMYFUNCTION("""COMPUTED_VALUE"""),469.32849364791286)</f>
        <v>469.3284936</v>
      </c>
    </row>
    <row r="276">
      <c r="A276" s="20">
        <f>IFERROR(__xludf.DUMMYFUNCTION("""COMPUTED_VALUE"""),44836.0)</f>
        <v>44836</v>
      </c>
      <c r="B276" s="21">
        <f>IFERROR(__xludf.DUMMYFUNCTION("""COMPUTED_VALUE"""),570.4666666666666)</f>
        <v>570.4666667</v>
      </c>
      <c r="C276" s="22">
        <f>IFERROR(__xludf.DUMMYFUNCTION("""COMPUTED_VALUE"""),478.3)</f>
        <v>478.3</v>
      </c>
      <c r="D276" s="22">
        <f>IFERROR(__xludf.DUMMYFUNCTION("""COMPUTED_VALUE"""),616.55)</f>
        <v>616.55</v>
      </c>
      <c r="E276" s="21">
        <f>IFERROR(__xludf.DUMMYFUNCTION("""COMPUTED_VALUE"""),343.23559457019184)</f>
        <v>343.2355946</v>
      </c>
      <c r="F276" s="21">
        <f>IFERROR(__xludf.DUMMYFUNCTION("""COMPUTED_VALUE"""),541.8765)</f>
        <v>541.8765</v>
      </c>
      <c r="G276" s="21">
        <f>IFERROR(__xludf.DUMMYFUNCTION("""COMPUTED_VALUE"""),469.32849364791286)</f>
        <v>469.3284936</v>
      </c>
    </row>
    <row r="277">
      <c r="A277" s="20">
        <f>IFERROR(__xludf.DUMMYFUNCTION("""COMPUTED_VALUE"""),44837.0)</f>
        <v>44837</v>
      </c>
      <c r="B277" s="21">
        <f>IFERROR(__xludf.DUMMYFUNCTION("""COMPUTED_VALUE"""),584.16)</f>
        <v>584.16</v>
      </c>
      <c r="C277" s="22">
        <f>IFERROR(__xludf.DUMMYFUNCTION("""COMPUTED_VALUE"""),494.5)</f>
        <v>494.5</v>
      </c>
      <c r="D277" s="22">
        <f>IFERROR(__xludf.DUMMYFUNCTION("""COMPUTED_VALUE"""),616.55)</f>
        <v>616.55</v>
      </c>
      <c r="E277" s="21">
        <f>IFERROR(__xludf.DUMMYFUNCTION("""COMPUTED_VALUE"""),343.02681480399224)</f>
        <v>343.0268148</v>
      </c>
      <c r="F277" s="21">
        <f>IFERROR(__xludf.DUMMYFUNCTION("""COMPUTED_VALUE"""),504.1335)</f>
        <v>504.1335</v>
      </c>
      <c r="G277" s="21">
        <f>IFERROR(__xludf.DUMMYFUNCTION("""COMPUTED_VALUE"""),469.32849364791286)</f>
        <v>469.3284936</v>
      </c>
    </row>
    <row r="278">
      <c r="A278" s="20">
        <f>IFERROR(__xludf.DUMMYFUNCTION("""COMPUTED_VALUE"""),44838.0)</f>
        <v>44838</v>
      </c>
      <c r="B278" s="21">
        <f>IFERROR(__xludf.DUMMYFUNCTION("""COMPUTED_VALUE"""),584.16)</f>
        <v>584.16</v>
      </c>
      <c r="C278" s="22">
        <f>IFERROR(__xludf.DUMMYFUNCTION("""COMPUTED_VALUE"""),494.5)</f>
        <v>494.5</v>
      </c>
      <c r="D278" s="22">
        <f>IFERROR(__xludf.DUMMYFUNCTION("""COMPUTED_VALUE"""),616.55)</f>
        <v>616.55</v>
      </c>
      <c r="E278" s="21">
        <f>IFERROR(__xludf.DUMMYFUNCTION("""COMPUTED_VALUE"""),339.85445725462887)</f>
        <v>339.8544573</v>
      </c>
      <c r="F278" s="21">
        <f>IFERROR(__xludf.DUMMYFUNCTION("""COMPUTED_VALUE"""),466.3905000000001)</f>
        <v>466.3905</v>
      </c>
      <c r="G278" s="21">
        <f>IFERROR(__xludf.DUMMYFUNCTION("""COMPUTED_VALUE"""),469.32849364791286)</f>
        <v>469.3284936</v>
      </c>
    </row>
    <row r="279">
      <c r="A279" s="20">
        <f>IFERROR(__xludf.DUMMYFUNCTION("""COMPUTED_VALUE"""),44839.0)</f>
        <v>44839</v>
      </c>
      <c r="B279" s="21">
        <f>IFERROR(__xludf.DUMMYFUNCTION("""COMPUTED_VALUE"""),584.16)</f>
        <v>584.16</v>
      </c>
      <c r="C279" s="22">
        <f>IFERROR(__xludf.DUMMYFUNCTION("""COMPUTED_VALUE"""),494.5)</f>
        <v>494.5</v>
      </c>
      <c r="D279" s="22">
        <f>IFERROR(__xludf.DUMMYFUNCTION("""COMPUTED_VALUE"""),616.55)</f>
        <v>616.55</v>
      </c>
      <c r="E279" s="21">
        <f>IFERROR(__xludf.DUMMYFUNCTION("""COMPUTED_VALUE"""),329.7892281022197)</f>
        <v>329.7892281</v>
      </c>
      <c r="F279" s="21">
        <f>IFERROR(__xludf.DUMMYFUNCTION("""COMPUTED_VALUE"""),428.64750000000004)</f>
        <v>428.6475</v>
      </c>
      <c r="G279" s="21">
        <f>IFERROR(__xludf.DUMMYFUNCTION("""COMPUTED_VALUE"""),469.32849364791286)</f>
        <v>469.3284936</v>
      </c>
    </row>
    <row r="280">
      <c r="A280" s="20">
        <f>IFERROR(__xludf.DUMMYFUNCTION("""COMPUTED_VALUE"""),44840.0)</f>
        <v>44840</v>
      </c>
      <c r="B280" s="21">
        <f>IFERROR(__xludf.DUMMYFUNCTION("""COMPUTED_VALUE"""),584.16)</f>
        <v>584.16</v>
      </c>
      <c r="C280" s="22">
        <f>IFERROR(__xludf.DUMMYFUNCTION("""COMPUTED_VALUE"""),494.5)</f>
        <v>494.5</v>
      </c>
      <c r="D280" s="22">
        <f>IFERROR(__xludf.DUMMYFUNCTION("""COMPUTED_VALUE"""),616.55)</f>
        <v>616.55</v>
      </c>
      <c r="E280" s="21">
        <f>IFERROR(__xludf.DUMMYFUNCTION("""COMPUTED_VALUE"""),302.96693973496076)</f>
        <v>302.9669397</v>
      </c>
      <c r="F280" s="21">
        <f>IFERROR(__xludf.DUMMYFUNCTION("""COMPUTED_VALUE"""),428.64750000000004)</f>
        <v>428.6475</v>
      </c>
      <c r="G280" s="21">
        <f>IFERROR(__xludf.DUMMYFUNCTION("""COMPUTED_VALUE"""),469.32849364791286)</f>
        <v>469.3284936</v>
      </c>
    </row>
    <row r="281">
      <c r="A281" s="20">
        <f>IFERROR(__xludf.DUMMYFUNCTION("""COMPUTED_VALUE"""),44841.0)</f>
        <v>44841</v>
      </c>
      <c r="B281" s="21">
        <f>IFERROR(__xludf.DUMMYFUNCTION("""COMPUTED_VALUE"""),584.16)</f>
        <v>584.16</v>
      </c>
      <c r="C281" s="22">
        <f>IFERROR(__xludf.DUMMYFUNCTION("""COMPUTED_VALUE"""),494.5)</f>
        <v>494.5</v>
      </c>
      <c r="D281" s="22">
        <f>IFERROR(__xludf.DUMMYFUNCTION("""COMPUTED_VALUE"""),616.55)</f>
        <v>616.55</v>
      </c>
      <c r="E281" s="21">
        <f>IFERROR(__xludf.DUMMYFUNCTION("""COMPUTED_VALUE"""),287.2942820604157)</f>
        <v>287.2942821</v>
      </c>
      <c r="F281" s="21">
        <f>IFERROR(__xludf.DUMMYFUNCTION("""COMPUTED_VALUE"""),428.64750000000004)</f>
        <v>428.6475</v>
      </c>
      <c r="G281" s="21">
        <f>IFERROR(__xludf.DUMMYFUNCTION("""COMPUTED_VALUE"""),469.32849364791286)</f>
        <v>469.3284936</v>
      </c>
    </row>
    <row r="282">
      <c r="A282" s="20">
        <f>IFERROR(__xludf.DUMMYFUNCTION("""COMPUTED_VALUE"""),44842.0)</f>
        <v>44842</v>
      </c>
      <c r="B282" s="21">
        <f>IFERROR(__xludf.DUMMYFUNCTION("""COMPUTED_VALUE"""),584.16)</f>
        <v>584.16</v>
      </c>
      <c r="C282" s="22">
        <f>IFERROR(__xludf.DUMMYFUNCTION("""COMPUTED_VALUE"""),494.5)</f>
        <v>494.5</v>
      </c>
      <c r="D282" s="22">
        <f>IFERROR(__xludf.DUMMYFUNCTION("""COMPUTED_VALUE"""),616.55)</f>
        <v>616.55</v>
      </c>
      <c r="E282" s="21">
        <f>IFERROR(__xludf.DUMMYFUNCTION("""COMPUTED_VALUE"""),294.02633511753595)</f>
        <v>294.0263351</v>
      </c>
      <c r="F282" s="21">
        <f>IFERROR(__xludf.DUMMYFUNCTION("""COMPUTED_VALUE"""),428.64750000000004)</f>
        <v>428.6475</v>
      </c>
      <c r="G282" s="21">
        <f>IFERROR(__xludf.DUMMYFUNCTION("""COMPUTED_VALUE"""),469.32849364791286)</f>
        <v>469.3284936</v>
      </c>
    </row>
    <row r="283">
      <c r="A283" s="20">
        <f>IFERROR(__xludf.DUMMYFUNCTION("""COMPUTED_VALUE"""),44843.0)</f>
        <v>44843</v>
      </c>
      <c r="B283" s="21">
        <f>IFERROR(__xludf.DUMMYFUNCTION("""COMPUTED_VALUE"""),584.16)</f>
        <v>584.16</v>
      </c>
      <c r="C283" s="22">
        <f>IFERROR(__xludf.DUMMYFUNCTION("""COMPUTED_VALUE"""),494.5)</f>
        <v>494.5</v>
      </c>
      <c r="D283" s="22">
        <f>IFERROR(__xludf.DUMMYFUNCTION("""COMPUTED_VALUE"""),616.55)</f>
        <v>616.55</v>
      </c>
      <c r="E283" s="21">
        <f>IFERROR(__xludf.DUMMYFUNCTION("""COMPUTED_VALUE"""),294.36562667926785)</f>
        <v>294.3656267</v>
      </c>
      <c r="F283" s="21">
        <f>IFERROR(__xludf.DUMMYFUNCTION("""COMPUTED_VALUE"""),428.64750000000004)</f>
        <v>428.6475</v>
      </c>
      <c r="G283" s="21">
        <f>IFERROR(__xludf.DUMMYFUNCTION("""COMPUTED_VALUE"""),469.32849364791286)</f>
        <v>469.3284936</v>
      </c>
    </row>
    <row r="284">
      <c r="A284" s="20">
        <f>IFERROR(__xludf.DUMMYFUNCTION("""COMPUTED_VALUE"""),44844.0)</f>
        <v>44844</v>
      </c>
      <c r="B284" s="21">
        <f>IFERROR(__xludf.DUMMYFUNCTION("""COMPUTED_VALUE"""),520.1)</f>
        <v>520.1</v>
      </c>
      <c r="C284" s="22">
        <f>IFERROR(__xludf.DUMMYFUNCTION("""COMPUTED_VALUE"""),408.80000000000007)</f>
        <v>408.8</v>
      </c>
      <c r="D284" s="22">
        <f>IFERROR(__xludf.DUMMYFUNCTION("""COMPUTED_VALUE"""),575.75)</f>
        <v>575.75</v>
      </c>
      <c r="E284" s="21">
        <f>IFERROR(__xludf.DUMMYFUNCTION("""COMPUTED_VALUE"""),285.11408460263334)</f>
        <v>285.1140846</v>
      </c>
      <c r="F284" s="21">
        <f>IFERROR(__xludf.DUMMYFUNCTION("""COMPUTED_VALUE"""),428.64750000000004)</f>
        <v>428.6475</v>
      </c>
      <c r="G284" s="21">
        <f>IFERROR(__xludf.DUMMYFUNCTION("""COMPUTED_VALUE"""),469.32849364791286)</f>
        <v>469.3284936</v>
      </c>
    </row>
    <row r="285">
      <c r="A285" s="24">
        <f>IFERROR(__xludf.DUMMYFUNCTION("""COMPUTED_VALUE"""),44845.0)</f>
        <v>44845</v>
      </c>
      <c r="B285" s="21">
        <f>IFERROR(__xludf.DUMMYFUNCTION("""COMPUTED_VALUE"""),520.1)</f>
        <v>520.1</v>
      </c>
      <c r="C285" s="22">
        <f>IFERROR(__xludf.DUMMYFUNCTION("""COMPUTED_VALUE"""),408.80000000000007)</f>
        <v>408.8</v>
      </c>
      <c r="D285" s="22">
        <f>IFERROR(__xludf.DUMMYFUNCTION("""COMPUTED_VALUE"""),575.75)</f>
        <v>575.75</v>
      </c>
      <c r="E285" s="21">
        <f>IFERROR(__xludf.DUMMYFUNCTION("""COMPUTED_VALUE"""),275.54980087968596)</f>
        <v>275.5498009</v>
      </c>
      <c r="F285" s="21">
        <f>IFERROR(__xludf.DUMMYFUNCTION("""COMPUTED_VALUE"""),411.50200000000007)</f>
        <v>411.502</v>
      </c>
      <c r="G285" s="21">
        <f>IFERROR(__xludf.DUMMYFUNCTION("""COMPUTED_VALUE"""),469.32849364791286)</f>
        <v>469.3284936</v>
      </c>
    </row>
    <row r="286">
      <c r="A286" s="24">
        <f>IFERROR(__xludf.DUMMYFUNCTION("""COMPUTED_VALUE"""),44846.0)</f>
        <v>44846</v>
      </c>
      <c r="B286" s="21">
        <f>IFERROR(__xludf.DUMMYFUNCTION("""COMPUTED_VALUE"""),520.1)</f>
        <v>520.1</v>
      </c>
      <c r="C286" s="22">
        <f>IFERROR(__xludf.DUMMYFUNCTION("""COMPUTED_VALUE"""),408.80000000000007)</f>
        <v>408.8</v>
      </c>
      <c r="D286" s="22">
        <f>IFERROR(__xludf.DUMMYFUNCTION("""COMPUTED_VALUE"""),575.75)</f>
        <v>575.75</v>
      </c>
      <c r="E286" s="21">
        <f>IFERROR(__xludf.DUMMYFUNCTION("""COMPUTED_VALUE"""),255.79156615303788)</f>
        <v>255.7915662</v>
      </c>
      <c r="F286" s="21">
        <f>IFERROR(__xludf.DUMMYFUNCTION("""COMPUTED_VALUE"""),394.35650000000004)</f>
        <v>394.3565</v>
      </c>
      <c r="G286" s="21">
        <f>IFERROR(__xludf.DUMMYFUNCTION("""COMPUTED_VALUE"""),469.32849364791286)</f>
        <v>469.3284936</v>
      </c>
    </row>
    <row r="287">
      <c r="A287" s="24">
        <f>IFERROR(__xludf.DUMMYFUNCTION("""COMPUTED_VALUE"""),44847.0)</f>
        <v>44847</v>
      </c>
      <c r="B287" s="21">
        <f>IFERROR(__xludf.DUMMYFUNCTION("""COMPUTED_VALUE"""),520.1)</f>
        <v>520.1</v>
      </c>
      <c r="C287" s="22">
        <f>IFERROR(__xludf.DUMMYFUNCTION("""COMPUTED_VALUE"""),408.80000000000007)</f>
        <v>408.8</v>
      </c>
      <c r="D287" s="22">
        <f>IFERROR(__xludf.DUMMYFUNCTION("""COMPUTED_VALUE"""),575.75)</f>
        <v>575.75</v>
      </c>
      <c r="E287" s="21">
        <f>IFERROR(__xludf.DUMMYFUNCTION("""COMPUTED_VALUE"""),258.7819340515668)</f>
        <v>258.7819341</v>
      </c>
      <c r="F287" s="21">
        <f>IFERROR(__xludf.DUMMYFUNCTION("""COMPUTED_VALUE"""),377.21100000000007)</f>
        <v>377.211</v>
      </c>
      <c r="G287" s="21">
        <f>IFERROR(__xludf.DUMMYFUNCTION("""COMPUTED_VALUE"""),469.32849364791286)</f>
        <v>469.3284936</v>
      </c>
    </row>
    <row r="288">
      <c r="A288" s="23">
        <f>IFERROR(__xludf.DUMMYFUNCTION("""COMPUTED_VALUE"""),44848.0)</f>
        <v>44848</v>
      </c>
      <c r="B288" s="21">
        <f>IFERROR(__xludf.DUMMYFUNCTION("""COMPUTED_VALUE"""),520.1)</f>
        <v>520.1</v>
      </c>
      <c r="C288" s="22">
        <f>IFERROR(__xludf.DUMMYFUNCTION("""COMPUTED_VALUE"""),408.80000000000007)</f>
        <v>408.8</v>
      </c>
      <c r="D288" s="22">
        <f>IFERROR(__xludf.DUMMYFUNCTION("""COMPUTED_VALUE"""),575.75)</f>
        <v>575.75</v>
      </c>
      <c r="E288" s="21">
        <f>IFERROR(__xludf.DUMMYFUNCTION("""COMPUTED_VALUE"""),257.13536765249495)</f>
        <v>257.1353677</v>
      </c>
      <c r="F288" s="21">
        <f>IFERROR(__xludf.DUMMYFUNCTION("""COMPUTED_VALUE"""),360.0655)</f>
        <v>360.0655</v>
      </c>
      <c r="G288" s="21">
        <f>IFERROR(__xludf.DUMMYFUNCTION("""COMPUTED_VALUE"""),469.32849364791286)</f>
        <v>469.3284936</v>
      </c>
    </row>
    <row r="289">
      <c r="A289" s="23">
        <f>IFERROR(__xludf.DUMMYFUNCTION("""COMPUTED_VALUE"""),44849.0)</f>
        <v>44849</v>
      </c>
      <c r="B289" s="21">
        <f>IFERROR(__xludf.DUMMYFUNCTION("""COMPUTED_VALUE"""),520.1)</f>
        <v>520.1</v>
      </c>
      <c r="C289" s="22">
        <f>IFERROR(__xludf.DUMMYFUNCTION("""COMPUTED_VALUE"""),408.80000000000007)</f>
        <v>408.8</v>
      </c>
      <c r="D289" s="22">
        <f>IFERROR(__xludf.DUMMYFUNCTION("""COMPUTED_VALUE"""),575.75)</f>
        <v>575.75</v>
      </c>
      <c r="E289" s="21">
        <f>IFERROR(__xludf.DUMMYFUNCTION("""COMPUTED_VALUE"""),245.66124466818593)</f>
        <v>245.6612447</v>
      </c>
      <c r="F289" s="21">
        <f>IFERROR(__xludf.DUMMYFUNCTION("""COMPUTED_VALUE"""),360.0655)</f>
        <v>360.0655</v>
      </c>
      <c r="G289" s="21">
        <f>IFERROR(__xludf.DUMMYFUNCTION("""COMPUTED_VALUE"""),469.32849364791286)</f>
        <v>469.3284936</v>
      </c>
    </row>
    <row r="290">
      <c r="A290" s="23">
        <f>IFERROR(__xludf.DUMMYFUNCTION("""COMPUTED_VALUE"""),44850.0)</f>
        <v>44850</v>
      </c>
      <c r="B290" s="21">
        <f>IFERROR(__xludf.DUMMYFUNCTION("""COMPUTED_VALUE"""),520.1)</f>
        <v>520.1</v>
      </c>
      <c r="C290" s="22">
        <f>IFERROR(__xludf.DUMMYFUNCTION("""COMPUTED_VALUE"""),408.80000000000007)</f>
        <v>408.8</v>
      </c>
      <c r="D290" s="22">
        <f>IFERROR(__xludf.DUMMYFUNCTION("""COMPUTED_VALUE"""),575.75)</f>
        <v>575.75</v>
      </c>
      <c r="E290" s="21">
        <f>IFERROR(__xludf.DUMMYFUNCTION("""COMPUTED_VALUE"""),242.4103786269573)</f>
        <v>242.4103786</v>
      </c>
      <c r="F290" s="21">
        <f>IFERROR(__xludf.DUMMYFUNCTION("""COMPUTED_VALUE"""),360.0655)</f>
        <v>360.0655</v>
      </c>
      <c r="G290" s="21">
        <f>IFERROR(__xludf.DUMMYFUNCTION("""COMPUTED_VALUE"""),469.32849364791286)</f>
        <v>469.3284936</v>
      </c>
    </row>
    <row r="291">
      <c r="A291" s="23">
        <f>IFERROR(__xludf.DUMMYFUNCTION("""COMPUTED_VALUE"""),44851.0)</f>
        <v>44851</v>
      </c>
      <c r="B291" s="21">
        <f>IFERROR(__xludf.DUMMYFUNCTION("""COMPUTED_VALUE"""),512.5333333333334)</f>
        <v>512.5333333</v>
      </c>
      <c r="C291" s="22">
        <f>IFERROR(__xludf.DUMMYFUNCTION("""COMPUTED_VALUE"""),408.80000000000007)</f>
        <v>408.8</v>
      </c>
      <c r="D291" s="22">
        <f>IFERROR(__xludf.DUMMYFUNCTION("""COMPUTED_VALUE"""),564.4)</f>
        <v>564.4</v>
      </c>
      <c r="E291" s="21">
        <f>IFERROR(__xludf.DUMMYFUNCTION("""COMPUTED_VALUE"""),232.44796519229791)</f>
        <v>232.4479652</v>
      </c>
      <c r="F291" s="21">
        <f>IFERROR(__xludf.DUMMYFUNCTION("""COMPUTED_VALUE"""),340.86199999999997)</f>
        <v>340.862</v>
      </c>
      <c r="G291" s="21">
        <f>IFERROR(__xludf.DUMMYFUNCTION("""COMPUTED_VALUE"""),469.32849364791286)</f>
        <v>469.3284936</v>
      </c>
    </row>
    <row r="292">
      <c r="A292" s="23">
        <f>IFERROR(__xludf.DUMMYFUNCTION("""COMPUTED_VALUE"""),44852.0)</f>
        <v>44852</v>
      </c>
      <c r="B292" s="21">
        <f>IFERROR(__xludf.DUMMYFUNCTION("""COMPUTED_VALUE"""),512.5333333333334)</f>
        <v>512.5333333</v>
      </c>
      <c r="C292" s="22">
        <f>IFERROR(__xludf.DUMMYFUNCTION("""COMPUTED_VALUE"""),408.80000000000007)</f>
        <v>408.8</v>
      </c>
      <c r="D292" s="22">
        <f>IFERROR(__xludf.DUMMYFUNCTION("""COMPUTED_VALUE"""),564.4)</f>
        <v>564.4</v>
      </c>
      <c r="E292" s="21">
        <f>IFERROR(__xludf.DUMMYFUNCTION("""COMPUTED_VALUE"""),222.39949833812832)</f>
        <v>222.3994983</v>
      </c>
      <c r="F292" s="21">
        <f>IFERROR(__xludf.DUMMYFUNCTION("""COMPUTED_VALUE"""),338.804)</f>
        <v>338.804</v>
      </c>
      <c r="G292" s="21">
        <f>IFERROR(__xludf.DUMMYFUNCTION("""COMPUTED_VALUE"""),469.32849364791286)</f>
        <v>469.3284936</v>
      </c>
    </row>
    <row r="293">
      <c r="A293" s="23">
        <f>IFERROR(__xludf.DUMMYFUNCTION("""COMPUTED_VALUE"""),44853.0)</f>
        <v>44853</v>
      </c>
      <c r="B293" s="21">
        <f>IFERROR(__xludf.DUMMYFUNCTION("""COMPUTED_VALUE"""),512.5333333333334)</f>
        <v>512.5333333</v>
      </c>
      <c r="C293" s="22">
        <f>IFERROR(__xludf.DUMMYFUNCTION("""COMPUTED_VALUE"""),408.80000000000007)</f>
        <v>408.8</v>
      </c>
      <c r="D293" s="22">
        <f>IFERROR(__xludf.DUMMYFUNCTION("""COMPUTED_VALUE"""),564.4)</f>
        <v>564.4</v>
      </c>
      <c r="E293" s="21">
        <f>IFERROR(__xludf.DUMMYFUNCTION("""COMPUTED_VALUE"""),225.47191881643656)</f>
        <v>225.4719188</v>
      </c>
      <c r="F293" s="21">
        <f>IFERROR(__xludf.DUMMYFUNCTION("""COMPUTED_VALUE"""),336.746)</f>
        <v>336.746</v>
      </c>
      <c r="G293" s="21">
        <f>IFERROR(__xludf.DUMMYFUNCTION("""COMPUTED_VALUE"""),469.32849364791286)</f>
        <v>469.3284936</v>
      </c>
    </row>
    <row r="294">
      <c r="A294" s="23">
        <f>IFERROR(__xludf.DUMMYFUNCTION("""COMPUTED_VALUE"""),44854.0)</f>
        <v>44854</v>
      </c>
      <c r="B294" s="21">
        <f>IFERROR(__xludf.DUMMYFUNCTION("""COMPUTED_VALUE"""),512.5333333333334)</f>
        <v>512.5333333</v>
      </c>
      <c r="C294" s="22">
        <f>IFERROR(__xludf.DUMMYFUNCTION("""COMPUTED_VALUE"""),408.80000000000007)</f>
        <v>408.8</v>
      </c>
      <c r="D294" s="22">
        <f>IFERROR(__xludf.DUMMYFUNCTION("""COMPUTED_VALUE"""),564.4)</f>
        <v>564.4</v>
      </c>
      <c r="E294" s="21">
        <f>IFERROR(__xludf.DUMMYFUNCTION("""COMPUTED_VALUE"""),214.95224376639467)</f>
        <v>214.9522438</v>
      </c>
      <c r="F294" s="21">
        <f>IFERROR(__xludf.DUMMYFUNCTION("""COMPUTED_VALUE"""),334.688)</f>
        <v>334.688</v>
      </c>
      <c r="G294" s="21">
        <f>IFERROR(__xludf.DUMMYFUNCTION("""COMPUTED_VALUE"""),469.32849364791286)</f>
        <v>469.3284936</v>
      </c>
    </row>
    <row r="295">
      <c r="A295" s="23">
        <f>IFERROR(__xludf.DUMMYFUNCTION("""COMPUTED_VALUE"""),44855.0)</f>
        <v>44855</v>
      </c>
      <c r="B295" s="21">
        <f>IFERROR(__xludf.DUMMYFUNCTION("""COMPUTED_VALUE"""),512.5333333333334)</f>
        <v>512.5333333</v>
      </c>
      <c r="C295" s="22">
        <f>IFERROR(__xludf.DUMMYFUNCTION("""COMPUTED_VALUE"""),408.80000000000007)</f>
        <v>408.8</v>
      </c>
      <c r="D295" s="22">
        <f>IFERROR(__xludf.DUMMYFUNCTION("""COMPUTED_VALUE"""),564.4)</f>
        <v>564.4</v>
      </c>
      <c r="E295" s="21">
        <f>IFERROR(__xludf.DUMMYFUNCTION("""COMPUTED_VALUE"""),205.50718567127117)</f>
        <v>205.5071857</v>
      </c>
      <c r="F295" s="21">
        <f>IFERROR(__xludf.DUMMYFUNCTION("""COMPUTED_VALUE"""),332.63)</f>
        <v>332.63</v>
      </c>
      <c r="G295" s="21">
        <f>IFERROR(__xludf.DUMMYFUNCTION("""COMPUTED_VALUE"""),469.32849364791286)</f>
        <v>469.3284936</v>
      </c>
    </row>
    <row r="296">
      <c r="A296" s="23">
        <f>IFERROR(__xludf.DUMMYFUNCTION("""COMPUTED_VALUE"""),44856.0)</f>
        <v>44856</v>
      </c>
      <c r="B296" s="21">
        <f>IFERROR(__xludf.DUMMYFUNCTION("""COMPUTED_VALUE"""),512.5333333333334)</f>
        <v>512.5333333</v>
      </c>
      <c r="C296" s="22">
        <f>IFERROR(__xludf.DUMMYFUNCTION("""COMPUTED_VALUE"""),408.80000000000007)</f>
        <v>408.8</v>
      </c>
      <c r="D296" s="22">
        <f>IFERROR(__xludf.DUMMYFUNCTION("""COMPUTED_VALUE"""),564.4)</f>
        <v>564.4</v>
      </c>
      <c r="E296" s="21">
        <f>IFERROR(__xludf.DUMMYFUNCTION("""COMPUTED_VALUE"""),195.0188609063601)</f>
        <v>195.0188609</v>
      </c>
      <c r="F296" s="21">
        <f>IFERROR(__xludf.DUMMYFUNCTION("""COMPUTED_VALUE"""),332.63)</f>
        <v>332.63</v>
      </c>
      <c r="G296" s="21">
        <f>IFERROR(__xludf.DUMMYFUNCTION("""COMPUTED_VALUE"""),469.32849364791286)</f>
        <v>469.3284936</v>
      </c>
    </row>
    <row r="297">
      <c r="A297" s="23">
        <f>IFERROR(__xludf.DUMMYFUNCTION("""COMPUTED_VALUE"""),44857.0)</f>
        <v>44857</v>
      </c>
      <c r="B297" s="21">
        <f>IFERROR(__xludf.DUMMYFUNCTION("""COMPUTED_VALUE"""),512.5333333333334)</f>
        <v>512.5333333</v>
      </c>
      <c r="C297" s="22">
        <f>IFERROR(__xludf.DUMMYFUNCTION("""COMPUTED_VALUE"""),408.80000000000007)</f>
        <v>408.8</v>
      </c>
      <c r="D297" s="22">
        <f>IFERROR(__xludf.DUMMYFUNCTION("""COMPUTED_VALUE"""),564.4)</f>
        <v>564.4</v>
      </c>
      <c r="E297" s="21">
        <f>IFERROR(__xludf.DUMMYFUNCTION("""COMPUTED_VALUE"""),183.24432703958232)</f>
        <v>183.244327</v>
      </c>
      <c r="F297" s="21">
        <f>IFERROR(__xludf.DUMMYFUNCTION("""COMPUTED_VALUE"""),332.63)</f>
        <v>332.63</v>
      </c>
      <c r="G297" s="21">
        <f>IFERROR(__xludf.DUMMYFUNCTION("""COMPUTED_VALUE"""),469.32849364791286)</f>
        <v>469.3284936</v>
      </c>
    </row>
    <row r="298">
      <c r="A298" s="23">
        <f>IFERROR(__xludf.DUMMYFUNCTION("""COMPUTED_VALUE"""),44858.0)</f>
        <v>44858</v>
      </c>
      <c r="B298" s="21">
        <f>IFERROR(__xludf.DUMMYFUNCTION("""COMPUTED_VALUE"""),507.0833333333334)</f>
        <v>507.0833333</v>
      </c>
      <c r="C298" s="22">
        <f>IFERROR(__xludf.DUMMYFUNCTION("""COMPUTED_VALUE"""),392.45000000000005)</f>
        <v>392.45</v>
      </c>
      <c r="D298" s="22">
        <f>IFERROR(__xludf.DUMMYFUNCTION("""COMPUTED_VALUE"""),564.4)</f>
        <v>564.4</v>
      </c>
      <c r="E298" s="21">
        <f>IFERROR(__xludf.DUMMYFUNCTION("""COMPUTED_VALUE"""),171.42735238405467)</f>
        <v>171.4273524</v>
      </c>
      <c r="F298" s="21">
        <f>IFERROR(__xludf.DUMMYFUNCTION("""COMPUTED_VALUE"""),331.1355)</f>
        <v>331.1355</v>
      </c>
      <c r="G298" s="21">
        <f>IFERROR(__xludf.DUMMYFUNCTION("""COMPUTED_VALUE"""),469.32849364791286)</f>
        <v>469.3284936</v>
      </c>
    </row>
    <row r="299">
      <c r="A299" s="23">
        <f>IFERROR(__xludf.DUMMYFUNCTION("""COMPUTED_VALUE"""),44859.0)</f>
        <v>44859</v>
      </c>
      <c r="B299" s="21">
        <f>IFERROR(__xludf.DUMMYFUNCTION("""COMPUTED_VALUE"""),507.0833333333334)</f>
        <v>507.0833333</v>
      </c>
      <c r="C299" s="22">
        <f>IFERROR(__xludf.DUMMYFUNCTION("""COMPUTED_VALUE"""),392.45000000000005)</f>
        <v>392.45</v>
      </c>
      <c r="D299" s="22">
        <f>IFERROR(__xludf.DUMMYFUNCTION("""COMPUTED_VALUE"""),564.4)</f>
        <v>564.4</v>
      </c>
      <c r="E299" s="21">
        <f>IFERROR(__xludf.DUMMYFUNCTION("""COMPUTED_VALUE"""),159.28384588089946)</f>
        <v>159.2838459</v>
      </c>
      <c r="F299" s="21">
        <f>IFERROR(__xludf.DUMMYFUNCTION("""COMPUTED_VALUE"""),329.64099999999996)</f>
        <v>329.641</v>
      </c>
      <c r="G299" s="21">
        <f>IFERROR(__xludf.DUMMYFUNCTION("""COMPUTED_VALUE"""),469.32849364791286)</f>
        <v>469.3284936</v>
      </c>
    </row>
    <row r="300">
      <c r="A300" s="23">
        <f>IFERROR(__xludf.DUMMYFUNCTION("""COMPUTED_VALUE"""),44860.0)</f>
        <v>44860</v>
      </c>
      <c r="B300" s="21">
        <f>IFERROR(__xludf.DUMMYFUNCTION("""COMPUTED_VALUE"""),507.0833333333334)</f>
        <v>507.0833333</v>
      </c>
      <c r="C300" s="22">
        <f>IFERROR(__xludf.DUMMYFUNCTION("""COMPUTED_VALUE"""),392.45000000000005)</f>
        <v>392.45</v>
      </c>
      <c r="D300" s="22">
        <f>IFERROR(__xludf.DUMMYFUNCTION("""COMPUTED_VALUE"""),564.4)</f>
        <v>564.4</v>
      </c>
      <c r="E300" s="21">
        <f>IFERROR(__xludf.DUMMYFUNCTION("""COMPUTED_VALUE"""),152.44659510939462)</f>
        <v>152.4465951</v>
      </c>
      <c r="F300" s="21">
        <f>IFERROR(__xludf.DUMMYFUNCTION("""COMPUTED_VALUE"""),328.1465)</f>
        <v>328.1465</v>
      </c>
      <c r="G300" s="21">
        <f>IFERROR(__xludf.DUMMYFUNCTION("""COMPUTED_VALUE"""),469.32849364791286)</f>
        <v>469.3284936</v>
      </c>
    </row>
    <row r="301">
      <c r="A301" s="23">
        <f>IFERROR(__xludf.DUMMYFUNCTION("""COMPUTED_VALUE"""),44861.0)</f>
        <v>44861</v>
      </c>
      <c r="B301" s="21">
        <f>IFERROR(__xludf.DUMMYFUNCTION("""COMPUTED_VALUE"""),507.0833333333334)</f>
        <v>507.0833333</v>
      </c>
      <c r="C301" s="22">
        <f>IFERROR(__xludf.DUMMYFUNCTION("""COMPUTED_VALUE"""),392.45000000000005)</f>
        <v>392.45</v>
      </c>
      <c r="D301" s="22">
        <f>IFERROR(__xludf.DUMMYFUNCTION("""COMPUTED_VALUE"""),564.4)</f>
        <v>564.4</v>
      </c>
      <c r="E301" s="21">
        <f>IFERROR(__xludf.DUMMYFUNCTION("""COMPUTED_VALUE"""),146.64084093752197)</f>
        <v>146.6408409</v>
      </c>
      <c r="F301" s="21">
        <f>IFERROR(__xludf.DUMMYFUNCTION("""COMPUTED_VALUE"""),326.652)</f>
        <v>326.652</v>
      </c>
      <c r="G301" s="21">
        <f>IFERROR(__xludf.DUMMYFUNCTION("""COMPUTED_VALUE"""),469.32849364791286)</f>
        <v>469.3284936</v>
      </c>
    </row>
    <row r="302">
      <c r="A302" s="23">
        <f>IFERROR(__xludf.DUMMYFUNCTION("""COMPUTED_VALUE"""),44862.0)</f>
        <v>44862</v>
      </c>
      <c r="B302" s="21">
        <f>IFERROR(__xludf.DUMMYFUNCTION("""COMPUTED_VALUE"""),507.0833333333334)</f>
        <v>507.0833333</v>
      </c>
      <c r="C302" s="22">
        <f>IFERROR(__xludf.DUMMYFUNCTION("""COMPUTED_VALUE"""),392.45000000000005)</f>
        <v>392.45</v>
      </c>
      <c r="D302" s="22">
        <f>IFERROR(__xludf.DUMMYFUNCTION("""COMPUTED_VALUE"""),564.4)</f>
        <v>564.4</v>
      </c>
      <c r="E302" s="21">
        <f>IFERROR(__xludf.DUMMYFUNCTION("""COMPUTED_VALUE"""),137.34047684560434)</f>
        <v>137.3404768</v>
      </c>
      <c r="F302" s="21">
        <f>IFERROR(__xludf.DUMMYFUNCTION("""COMPUTED_VALUE"""),325.15749999999997)</f>
        <v>325.1575</v>
      </c>
      <c r="G302" s="21">
        <f>IFERROR(__xludf.DUMMYFUNCTION("""COMPUTED_VALUE"""),469.32849364791286)</f>
        <v>469.3284936</v>
      </c>
    </row>
    <row r="303">
      <c r="A303" s="23">
        <f>IFERROR(__xludf.DUMMYFUNCTION("""COMPUTED_VALUE"""),44863.0)</f>
        <v>44863</v>
      </c>
      <c r="B303" s="21">
        <f>IFERROR(__xludf.DUMMYFUNCTION("""COMPUTED_VALUE"""),507.0833333333334)</f>
        <v>507.0833333</v>
      </c>
      <c r="C303" s="22">
        <f>IFERROR(__xludf.DUMMYFUNCTION("""COMPUTED_VALUE"""),392.45000000000005)</f>
        <v>392.45</v>
      </c>
      <c r="D303" s="22">
        <f>IFERROR(__xludf.DUMMYFUNCTION("""COMPUTED_VALUE"""),564.4)</f>
        <v>564.4</v>
      </c>
      <c r="E303" s="21">
        <f>IFERROR(__xludf.DUMMYFUNCTION("""COMPUTED_VALUE"""),131.45918381484157)</f>
        <v>131.4591838</v>
      </c>
      <c r="F303" s="21">
        <f>IFERROR(__xludf.DUMMYFUNCTION("""COMPUTED_VALUE"""),325.15749999999997)</f>
        <v>325.1575</v>
      </c>
      <c r="G303" s="21">
        <f>IFERROR(__xludf.DUMMYFUNCTION("""COMPUTED_VALUE"""),469.32849364791286)</f>
        <v>469.3284936</v>
      </c>
    </row>
    <row r="304">
      <c r="A304" s="23">
        <f>IFERROR(__xludf.DUMMYFUNCTION("""COMPUTED_VALUE"""),44864.0)</f>
        <v>44864</v>
      </c>
      <c r="B304" s="21">
        <f>IFERROR(__xludf.DUMMYFUNCTION("""COMPUTED_VALUE"""),507.0833333333334)</f>
        <v>507.0833333</v>
      </c>
      <c r="C304" s="22">
        <f>IFERROR(__xludf.DUMMYFUNCTION("""COMPUTED_VALUE"""),392.45000000000005)</f>
        <v>392.45</v>
      </c>
      <c r="D304" s="22">
        <f>IFERROR(__xludf.DUMMYFUNCTION("""COMPUTED_VALUE"""),564.4)</f>
        <v>564.4</v>
      </c>
      <c r="E304" s="21">
        <f>IFERROR(__xludf.DUMMYFUNCTION("""COMPUTED_VALUE"""),132.6678001330752)</f>
        <v>132.6678001</v>
      </c>
      <c r="F304" s="21">
        <f>IFERROR(__xludf.DUMMYFUNCTION("""COMPUTED_VALUE"""),325.15749999999997)</f>
        <v>325.1575</v>
      </c>
      <c r="G304" s="21">
        <f>IFERROR(__xludf.DUMMYFUNCTION("""COMPUTED_VALUE"""),469.32849364791286)</f>
        <v>469.3284936</v>
      </c>
    </row>
    <row r="305">
      <c r="A305" s="23">
        <f>IFERROR(__xludf.DUMMYFUNCTION("""COMPUTED_VALUE"""),44865.0)</f>
        <v>44865</v>
      </c>
      <c r="B305" s="21">
        <f>IFERROR(__xludf.DUMMYFUNCTION("""COMPUTED_VALUE"""),505.34999999999997)</f>
        <v>505.35</v>
      </c>
      <c r="C305" s="22">
        <f>IFERROR(__xludf.DUMMYFUNCTION("""COMPUTED_VALUE"""),387.25)</f>
        <v>387.25</v>
      </c>
      <c r="D305" s="22">
        <f>IFERROR(__xludf.DUMMYFUNCTION("""COMPUTED_VALUE"""),564.4)</f>
        <v>564.4</v>
      </c>
      <c r="E305" s="21">
        <f>IFERROR(__xludf.DUMMYFUNCTION("""COMPUTED_VALUE"""),133.48172396334402)</f>
        <v>133.481724</v>
      </c>
      <c r="F305" s="21">
        <f>IFERROR(__xludf.DUMMYFUNCTION("""COMPUTED_VALUE"""),324.76149999999996)</f>
        <v>324.7615</v>
      </c>
      <c r="G305" s="21">
        <f>IFERROR(__xludf.DUMMYFUNCTION("""COMPUTED_VALUE"""),469.32849364791286)</f>
        <v>469.3284936</v>
      </c>
    </row>
    <row r="306">
      <c r="A306" s="23">
        <f>IFERROR(__xludf.DUMMYFUNCTION("""COMPUTED_VALUE"""),44866.0)</f>
        <v>44866</v>
      </c>
      <c r="B306" s="21">
        <f>IFERROR(__xludf.DUMMYFUNCTION("""COMPUTED_VALUE"""),505.34999999999997)</f>
        <v>505.35</v>
      </c>
      <c r="C306" s="22">
        <f>IFERROR(__xludf.DUMMYFUNCTION("""COMPUTED_VALUE"""),387.25)</f>
        <v>387.25</v>
      </c>
      <c r="D306" s="22">
        <f>IFERROR(__xludf.DUMMYFUNCTION("""COMPUTED_VALUE"""),564.4)</f>
        <v>564.4</v>
      </c>
      <c r="E306" s="21">
        <f>IFERROR(__xludf.DUMMYFUNCTION("""COMPUTED_VALUE"""),129.51640263511442)</f>
        <v>129.5164026</v>
      </c>
      <c r="F306" s="21">
        <f>IFERROR(__xludf.DUMMYFUNCTION("""COMPUTED_VALUE"""),324.3655)</f>
        <v>324.3655</v>
      </c>
      <c r="G306" s="21">
        <f>IFERROR(__xludf.DUMMYFUNCTION("""COMPUTED_VALUE"""),469.32849364791286)</f>
        <v>469.3284936</v>
      </c>
    </row>
    <row r="307">
      <c r="A307" s="23">
        <f>IFERROR(__xludf.DUMMYFUNCTION("""COMPUTED_VALUE"""),44867.0)</f>
        <v>44867</v>
      </c>
      <c r="B307" s="21">
        <f>IFERROR(__xludf.DUMMYFUNCTION("""COMPUTED_VALUE"""),505.34999999999997)</f>
        <v>505.35</v>
      </c>
      <c r="C307" s="22">
        <f>IFERROR(__xludf.DUMMYFUNCTION("""COMPUTED_VALUE"""),387.25)</f>
        <v>387.25</v>
      </c>
      <c r="D307" s="22">
        <f>IFERROR(__xludf.DUMMYFUNCTION("""COMPUTED_VALUE"""),564.4)</f>
        <v>564.4</v>
      </c>
      <c r="E307" s="21">
        <f>IFERROR(__xludf.DUMMYFUNCTION("""COMPUTED_VALUE"""),128.6911496636544)</f>
        <v>128.6911497</v>
      </c>
      <c r="F307" s="21">
        <f>IFERROR(__xludf.DUMMYFUNCTION("""COMPUTED_VALUE"""),323.96950000000004)</f>
        <v>323.9695</v>
      </c>
      <c r="G307" s="21">
        <f>IFERROR(__xludf.DUMMYFUNCTION("""COMPUTED_VALUE"""),469.32849364791286)</f>
        <v>469.3284936</v>
      </c>
    </row>
    <row r="308">
      <c r="A308" s="23">
        <f>IFERROR(__xludf.DUMMYFUNCTION("""COMPUTED_VALUE"""),44868.0)</f>
        <v>44868</v>
      </c>
      <c r="B308" s="21">
        <f>IFERROR(__xludf.DUMMYFUNCTION("""COMPUTED_VALUE"""),505.34999999999997)</f>
        <v>505.35</v>
      </c>
      <c r="C308" s="22">
        <f>IFERROR(__xludf.DUMMYFUNCTION("""COMPUTED_VALUE"""),387.25)</f>
        <v>387.25</v>
      </c>
      <c r="D308" s="22">
        <f>IFERROR(__xludf.DUMMYFUNCTION("""COMPUTED_VALUE"""),564.4)</f>
        <v>564.4</v>
      </c>
      <c r="E308" s="21">
        <f>IFERROR(__xludf.DUMMYFUNCTION("""COMPUTED_VALUE"""),124.34250819732854)</f>
        <v>124.3425082</v>
      </c>
      <c r="F308" s="21">
        <f>IFERROR(__xludf.DUMMYFUNCTION("""COMPUTED_VALUE"""),323.6725)</f>
        <v>323.6725</v>
      </c>
      <c r="G308" s="21">
        <f>IFERROR(__xludf.DUMMYFUNCTION("""COMPUTED_VALUE"""),469.32849364791286)</f>
        <v>469.3284936</v>
      </c>
    </row>
    <row r="309">
      <c r="A309" s="23">
        <f>IFERROR(__xludf.DUMMYFUNCTION("""COMPUTED_VALUE"""),44869.0)</f>
        <v>44869</v>
      </c>
      <c r="B309" s="21">
        <f>IFERROR(__xludf.DUMMYFUNCTION("""COMPUTED_VALUE"""),505.34999999999997)</f>
        <v>505.35</v>
      </c>
      <c r="C309" s="22">
        <f>IFERROR(__xludf.DUMMYFUNCTION("""COMPUTED_VALUE"""),387.25)</f>
        <v>387.25</v>
      </c>
      <c r="D309" s="22">
        <f>IFERROR(__xludf.DUMMYFUNCTION("""COMPUTED_VALUE"""),564.4)</f>
        <v>564.4</v>
      </c>
      <c r="E309" s="21">
        <f>IFERROR(__xludf.DUMMYFUNCTION("""COMPUTED_VALUE"""),132.66171762960656)</f>
        <v>132.6617176</v>
      </c>
      <c r="F309" s="21">
        <f>IFERROR(__xludf.DUMMYFUNCTION("""COMPUTED_VALUE"""),323.1775)</f>
        <v>323.1775</v>
      </c>
      <c r="G309" s="21">
        <f>IFERROR(__xludf.DUMMYFUNCTION("""COMPUTED_VALUE"""),469.32849364791286)</f>
        <v>469.3284936</v>
      </c>
    </row>
    <row r="310">
      <c r="A310" s="23">
        <f>IFERROR(__xludf.DUMMYFUNCTION("""COMPUTED_VALUE"""),44870.0)</f>
        <v>44870</v>
      </c>
      <c r="B310" s="21">
        <f>IFERROR(__xludf.DUMMYFUNCTION("""COMPUTED_VALUE"""),505.34999999999997)</f>
        <v>505.35</v>
      </c>
      <c r="C310" s="22">
        <f>IFERROR(__xludf.DUMMYFUNCTION("""COMPUTED_VALUE"""),387.25)</f>
        <v>387.25</v>
      </c>
      <c r="D310" s="22">
        <f>IFERROR(__xludf.DUMMYFUNCTION("""COMPUTED_VALUE"""),564.4)</f>
        <v>564.4</v>
      </c>
      <c r="E310" s="21">
        <f>IFERROR(__xludf.DUMMYFUNCTION("""COMPUTED_VALUE"""),137.94000887754908)</f>
        <v>137.9400089</v>
      </c>
      <c r="F310" s="21">
        <f>IFERROR(__xludf.DUMMYFUNCTION("""COMPUTED_VALUE"""),323.1775)</f>
        <v>323.1775</v>
      </c>
      <c r="G310" s="21">
        <f>IFERROR(__xludf.DUMMYFUNCTION("""COMPUTED_VALUE"""),469.32849364791286)</f>
        <v>469.3284936</v>
      </c>
    </row>
    <row r="311">
      <c r="A311" s="23">
        <f>IFERROR(__xludf.DUMMYFUNCTION("""COMPUTED_VALUE"""),44871.0)</f>
        <v>44871</v>
      </c>
      <c r="B311" s="21">
        <f>IFERROR(__xludf.DUMMYFUNCTION("""COMPUTED_VALUE"""),505.34999999999997)</f>
        <v>505.35</v>
      </c>
      <c r="C311" s="22">
        <f>IFERROR(__xludf.DUMMYFUNCTION("""COMPUTED_VALUE"""),387.25)</f>
        <v>387.25</v>
      </c>
      <c r="D311" s="22">
        <f>IFERROR(__xludf.DUMMYFUNCTION("""COMPUTED_VALUE"""),564.4)</f>
        <v>564.4</v>
      </c>
      <c r="E311" s="21">
        <f>IFERROR(__xludf.DUMMYFUNCTION("""COMPUTED_VALUE"""),139.6907899756306)</f>
        <v>139.69079</v>
      </c>
      <c r="F311" s="21">
        <f>IFERROR(__xludf.DUMMYFUNCTION("""COMPUTED_VALUE"""),323.1775)</f>
        <v>323.1775</v>
      </c>
      <c r="G311" s="21">
        <f>IFERROR(__xludf.DUMMYFUNCTION("""COMPUTED_VALUE"""),469.32849364791286)</f>
        <v>469.3284936</v>
      </c>
    </row>
    <row r="312">
      <c r="A312" s="23">
        <f>IFERROR(__xludf.DUMMYFUNCTION("""COMPUTED_VALUE"""),44872.0)</f>
        <v>44872</v>
      </c>
      <c r="B312" s="21">
        <f>IFERROR(__xludf.DUMMYFUNCTION("""COMPUTED_VALUE"""),505.34999999999997)</f>
        <v>505.35</v>
      </c>
      <c r="C312" s="22">
        <f>IFERROR(__xludf.DUMMYFUNCTION("""COMPUTED_VALUE"""),387.25)</f>
        <v>387.25</v>
      </c>
      <c r="D312" s="22">
        <f>IFERROR(__xludf.DUMMYFUNCTION("""COMPUTED_VALUE"""),564.4)</f>
        <v>564.4</v>
      </c>
      <c r="E312" s="21">
        <f>IFERROR(__xludf.DUMMYFUNCTION("""COMPUTED_VALUE"""),146.16037781478124)</f>
        <v>146.1603778</v>
      </c>
      <c r="F312" s="21">
        <f>IFERROR(__xludf.DUMMYFUNCTION("""COMPUTED_VALUE"""),318.95375)</f>
        <v>318.95375</v>
      </c>
      <c r="G312" s="21">
        <f>IFERROR(__xludf.DUMMYFUNCTION("""COMPUTED_VALUE"""),469.32849364791286)</f>
        <v>469.3284936</v>
      </c>
    </row>
    <row r="313">
      <c r="A313" s="23">
        <f>IFERROR(__xludf.DUMMYFUNCTION("""COMPUTED_VALUE"""),44873.0)</f>
        <v>44873</v>
      </c>
      <c r="B313" s="21">
        <f>IFERROR(__xludf.DUMMYFUNCTION("""COMPUTED_VALUE"""),505.34999999999997)</f>
        <v>505.35</v>
      </c>
      <c r="C313" s="22">
        <f>IFERROR(__xludf.DUMMYFUNCTION("""COMPUTED_VALUE"""),387.25)</f>
        <v>387.25</v>
      </c>
      <c r="D313" s="22">
        <f>IFERROR(__xludf.DUMMYFUNCTION("""COMPUTED_VALUE"""),564.4)</f>
        <v>564.4</v>
      </c>
      <c r="E313" s="21">
        <f>IFERROR(__xludf.DUMMYFUNCTION("""COMPUTED_VALUE"""),154.22781484127538)</f>
        <v>154.2278148</v>
      </c>
      <c r="F313" s="21">
        <f>IFERROR(__xludf.DUMMYFUNCTION("""COMPUTED_VALUE"""),314.73)</f>
        <v>314.73</v>
      </c>
      <c r="G313" s="21">
        <f>IFERROR(__xludf.DUMMYFUNCTION("""COMPUTED_VALUE"""),469.32849364791286)</f>
        <v>469.3284936</v>
      </c>
    </row>
    <row r="314">
      <c r="A314" s="23">
        <f>IFERROR(__xludf.DUMMYFUNCTION("""COMPUTED_VALUE"""),44874.0)</f>
        <v>44874</v>
      </c>
      <c r="B314" s="21">
        <f>IFERROR(__xludf.DUMMYFUNCTION("""COMPUTED_VALUE"""),505.34999999999997)</f>
        <v>505.35</v>
      </c>
      <c r="C314" s="22">
        <f>IFERROR(__xludf.DUMMYFUNCTION("""COMPUTED_VALUE"""),387.25)</f>
        <v>387.25</v>
      </c>
      <c r="D314" s="22">
        <f>IFERROR(__xludf.DUMMYFUNCTION("""COMPUTED_VALUE"""),564.4)</f>
        <v>564.4</v>
      </c>
      <c r="E314" s="21">
        <f>IFERROR(__xludf.DUMMYFUNCTION("""COMPUTED_VALUE"""),167.01664821086538)</f>
        <v>167.0166482</v>
      </c>
      <c r="F314" s="21">
        <f>IFERROR(__xludf.DUMMYFUNCTION("""COMPUTED_VALUE"""),310.50625)</f>
        <v>310.50625</v>
      </c>
      <c r="G314" s="21">
        <f>IFERROR(__xludf.DUMMYFUNCTION("""COMPUTED_VALUE"""),469.32849364791286)</f>
        <v>469.3284936</v>
      </c>
    </row>
    <row r="315">
      <c r="A315" s="23">
        <f>IFERROR(__xludf.DUMMYFUNCTION("""COMPUTED_VALUE"""),44875.0)</f>
        <v>44875</v>
      </c>
      <c r="B315" s="21">
        <f>IFERROR(__xludf.DUMMYFUNCTION("""COMPUTED_VALUE"""),505.34999999999997)</f>
        <v>505.35</v>
      </c>
      <c r="C315" s="22">
        <f>IFERROR(__xludf.DUMMYFUNCTION("""COMPUTED_VALUE"""),387.25)</f>
        <v>387.25</v>
      </c>
      <c r="D315" s="22">
        <f>IFERROR(__xludf.DUMMYFUNCTION("""COMPUTED_VALUE"""),564.4)</f>
        <v>564.4</v>
      </c>
      <c r="E315" s="21">
        <f>IFERROR(__xludf.DUMMYFUNCTION("""COMPUTED_VALUE"""),186.11907543588865)</f>
        <v>186.1190754</v>
      </c>
      <c r="F315" s="21">
        <f>IFERROR(__xludf.DUMMYFUNCTION("""COMPUTED_VALUE"""),309.66150000000005)</f>
        <v>309.6615</v>
      </c>
      <c r="G315" s="21">
        <f>IFERROR(__xludf.DUMMYFUNCTION("""COMPUTED_VALUE"""),469.32849364791286)</f>
        <v>469.3284936</v>
      </c>
    </row>
    <row r="316">
      <c r="A316" s="23">
        <f>IFERROR(__xludf.DUMMYFUNCTION("""COMPUTED_VALUE"""),44876.0)</f>
        <v>44876</v>
      </c>
      <c r="B316" s="21">
        <f>IFERROR(__xludf.DUMMYFUNCTION("""COMPUTED_VALUE"""),505.34999999999997)</f>
        <v>505.35</v>
      </c>
      <c r="C316" s="22">
        <f>IFERROR(__xludf.DUMMYFUNCTION("""COMPUTED_VALUE"""),387.25)</f>
        <v>387.25</v>
      </c>
      <c r="D316" s="22">
        <f>IFERROR(__xludf.DUMMYFUNCTION("""COMPUTED_VALUE"""),564.4)</f>
        <v>564.4</v>
      </c>
      <c r="E316" s="21">
        <f>IFERROR(__xludf.DUMMYFUNCTION("""COMPUTED_VALUE"""),189.12597838412438)</f>
        <v>189.1259784</v>
      </c>
      <c r="F316" s="21">
        <f>IFERROR(__xludf.DUMMYFUNCTION("""COMPUTED_VALUE"""),306.2825)</f>
        <v>306.2825</v>
      </c>
      <c r="G316" s="21">
        <f>IFERROR(__xludf.DUMMYFUNCTION("""COMPUTED_VALUE"""),469.32849364791286)</f>
        <v>469.3284936</v>
      </c>
    </row>
    <row r="317">
      <c r="A317" s="23">
        <f>IFERROR(__xludf.DUMMYFUNCTION("""COMPUTED_VALUE"""),44877.0)</f>
        <v>44877</v>
      </c>
      <c r="B317" s="21">
        <f>IFERROR(__xludf.DUMMYFUNCTION("""COMPUTED_VALUE"""),505.34999999999997)</f>
        <v>505.35</v>
      </c>
      <c r="C317" s="22">
        <f>IFERROR(__xludf.DUMMYFUNCTION("""COMPUTED_VALUE"""),387.25)</f>
        <v>387.25</v>
      </c>
      <c r="D317" s="22">
        <f>IFERROR(__xludf.DUMMYFUNCTION("""COMPUTED_VALUE"""),564.4)</f>
        <v>564.4</v>
      </c>
      <c r="E317" s="21">
        <f>IFERROR(__xludf.DUMMYFUNCTION("""COMPUTED_VALUE"""),183.29021708499755)</f>
        <v>183.2902171</v>
      </c>
      <c r="F317" s="21">
        <f>IFERROR(__xludf.DUMMYFUNCTION("""COMPUTED_VALUE"""),306.2825)</f>
        <v>306.2825</v>
      </c>
      <c r="G317" s="21">
        <f>IFERROR(__xludf.DUMMYFUNCTION("""COMPUTED_VALUE"""),469.32849364791286)</f>
        <v>469.3284936</v>
      </c>
    </row>
    <row r="318">
      <c r="A318" s="23">
        <f>IFERROR(__xludf.DUMMYFUNCTION("""COMPUTED_VALUE"""),44878.0)</f>
        <v>44878</v>
      </c>
      <c r="B318" s="21">
        <f>IFERROR(__xludf.DUMMYFUNCTION("""COMPUTED_VALUE"""),505.34999999999997)</f>
        <v>505.35</v>
      </c>
      <c r="C318" s="22">
        <f>IFERROR(__xludf.DUMMYFUNCTION("""COMPUTED_VALUE"""),387.25)</f>
        <v>387.25</v>
      </c>
      <c r="D318" s="22">
        <f>IFERROR(__xludf.DUMMYFUNCTION("""COMPUTED_VALUE"""),564.4)</f>
        <v>564.4</v>
      </c>
      <c r="E318" s="21">
        <f>IFERROR(__xludf.DUMMYFUNCTION("""COMPUTED_VALUE"""),190.14532997659722)</f>
        <v>190.14533</v>
      </c>
      <c r="F318" s="21">
        <f>IFERROR(__xludf.DUMMYFUNCTION("""COMPUTED_VALUE"""),306.2825)</f>
        <v>306.2825</v>
      </c>
      <c r="G318" s="21">
        <f>IFERROR(__xludf.DUMMYFUNCTION("""COMPUTED_VALUE"""),469.32849364791286)</f>
        <v>469.3284936</v>
      </c>
    </row>
    <row r="319">
      <c r="A319" s="23">
        <f>IFERROR(__xludf.DUMMYFUNCTION("""COMPUTED_VALUE"""),44879.0)</f>
        <v>44879</v>
      </c>
      <c r="B319" s="21">
        <f>IFERROR(__xludf.DUMMYFUNCTION("""COMPUTED_VALUE"""),501.58333333333337)</f>
        <v>501.5833333</v>
      </c>
      <c r="C319" s="22">
        <f>IFERROR(__xludf.DUMMYFUNCTION("""COMPUTED_VALUE"""),375.95)</f>
        <v>375.95</v>
      </c>
      <c r="D319" s="22">
        <f>IFERROR(__xludf.DUMMYFUNCTION("""COMPUTED_VALUE"""),564.4)</f>
        <v>564.4</v>
      </c>
      <c r="E319" s="21">
        <f>IFERROR(__xludf.DUMMYFUNCTION("""COMPUTED_VALUE"""),194.3619668829076)</f>
        <v>194.3619669</v>
      </c>
      <c r="F319" s="21">
        <f>IFERROR(__xludf.DUMMYFUNCTION("""COMPUTED_VALUE"""),300.90600000000006)</f>
        <v>300.906</v>
      </c>
      <c r="G319" s="21">
        <f>IFERROR(__xludf.DUMMYFUNCTION("""COMPUTED_VALUE"""),469.32849364791286)</f>
        <v>469.3284936</v>
      </c>
    </row>
    <row r="320">
      <c r="A320" s="23">
        <f>IFERROR(__xludf.DUMMYFUNCTION("""COMPUTED_VALUE"""),44880.0)</f>
        <v>44880</v>
      </c>
      <c r="B320" s="21">
        <f>IFERROR(__xludf.DUMMYFUNCTION("""COMPUTED_VALUE"""),501.58333333333337)</f>
        <v>501.5833333</v>
      </c>
      <c r="C320" s="22">
        <f>IFERROR(__xludf.DUMMYFUNCTION("""COMPUTED_VALUE"""),375.95)</f>
        <v>375.95</v>
      </c>
      <c r="D320" s="22">
        <f>IFERROR(__xludf.DUMMYFUNCTION("""COMPUTED_VALUE"""),564.4)</f>
        <v>564.4</v>
      </c>
      <c r="E320" s="21">
        <f>IFERROR(__xludf.DUMMYFUNCTION("""COMPUTED_VALUE"""),207.87777706724572)</f>
        <v>207.8777771</v>
      </c>
      <c r="F320" s="21">
        <f>IFERROR(__xludf.DUMMYFUNCTION("""COMPUTED_VALUE"""),295.5295)</f>
        <v>295.5295</v>
      </c>
      <c r="G320" s="21">
        <f>IFERROR(__xludf.DUMMYFUNCTION("""COMPUTED_VALUE"""),469.32849364791286)</f>
        <v>469.3284936</v>
      </c>
    </row>
    <row r="321">
      <c r="A321" s="23">
        <f>IFERROR(__xludf.DUMMYFUNCTION("""COMPUTED_VALUE"""),44881.0)</f>
        <v>44881</v>
      </c>
      <c r="B321" s="21">
        <f>IFERROR(__xludf.DUMMYFUNCTION("""COMPUTED_VALUE"""),501.58333333333337)</f>
        <v>501.5833333</v>
      </c>
      <c r="C321" s="22">
        <f>IFERROR(__xludf.DUMMYFUNCTION("""COMPUTED_VALUE"""),375.95)</f>
        <v>375.95</v>
      </c>
      <c r="D321" s="22">
        <f>IFERROR(__xludf.DUMMYFUNCTION("""COMPUTED_VALUE"""),564.4)</f>
        <v>564.4</v>
      </c>
      <c r="E321" s="21">
        <f>IFERROR(__xludf.DUMMYFUNCTION("""COMPUTED_VALUE"""),215.58202082747837)</f>
        <v>215.5820208</v>
      </c>
      <c r="F321" s="21">
        <f>IFERROR(__xludf.DUMMYFUNCTION("""COMPUTED_VALUE"""),290.15299999999996)</f>
        <v>290.153</v>
      </c>
      <c r="G321" s="21">
        <f>IFERROR(__xludf.DUMMYFUNCTION("""COMPUTED_VALUE"""),469.32849364791286)</f>
        <v>469.3284936</v>
      </c>
    </row>
    <row r="322">
      <c r="A322" s="23">
        <f>IFERROR(__xludf.DUMMYFUNCTION("""COMPUTED_VALUE"""),44882.0)</f>
        <v>44882</v>
      </c>
      <c r="B322" s="21">
        <f>IFERROR(__xludf.DUMMYFUNCTION("""COMPUTED_VALUE"""),501.58333333333337)</f>
        <v>501.5833333</v>
      </c>
      <c r="C322" s="22">
        <f>IFERROR(__xludf.DUMMYFUNCTION("""COMPUTED_VALUE"""),375.95)</f>
        <v>375.95</v>
      </c>
      <c r="D322" s="22">
        <f>IFERROR(__xludf.DUMMYFUNCTION("""COMPUTED_VALUE"""),564.4)</f>
        <v>564.4</v>
      </c>
      <c r="E322" s="21">
        <f>IFERROR(__xludf.DUMMYFUNCTION("""COMPUTED_VALUE"""),214.65888017133668)</f>
        <v>214.6588802</v>
      </c>
      <c r="F322" s="21">
        <f>IFERROR(__xludf.DUMMYFUNCTION("""COMPUTED_VALUE"""),284.77650000000006)</f>
        <v>284.7765</v>
      </c>
      <c r="G322" s="21">
        <f>IFERROR(__xludf.DUMMYFUNCTION("""COMPUTED_VALUE"""),469.32849364791286)</f>
        <v>469.3284936</v>
      </c>
    </row>
    <row r="323">
      <c r="A323" s="23">
        <f>IFERROR(__xludf.DUMMYFUNCTION("""COMPUTED_VALUE"""),44883.0)</f>
        <v>44883</v>
      </c>
      <c r="B323" s="21">
        <f>IFERROR(__xludf.DUMMYFUNCTION("""COMPUTED_VALUE"""),501.58333333333337)</f>
        <v>501.5833333</v>
      </c>
      <c r="C323" s="22">
        <f>IFERROR(__xludf.DUMMYFUNCTION("""COMPUTED_VALUE"""),375.95)</f>
        <v>375.95</v>
      </c>
      <c r="D323" s="22">
        <f>IFERROR(__xludf.DUMMYFUNCTION("""COMPUTED_VALUE"""),564.4)</f>
        <v>564.4</v>
      </c>
      <c r="E323" s="21">
        <f>IFERROR(__xludf.DUMMYFUNCTION("""COMPUTED_VALUE"""),220.12059481235298)</f>
        <v>220.1205948</v>
      </c>
      <c r="F323" s="21">
        <f>IFERROR(__xludf.DUMMYFUNCTION("""COMPUTED_VALUE"""),279.4)</f>
        <v>279.4</v>
      </c>
      <c r="G323" s="21">
        <f>IFERROR(__xludf.DUMMYFUNCTION("""COMPUTED_VALUE"""),469.32849364791286)</f>
        <v>469.3284936</v>
      </c>
    </row>
    <row r="324">
      <c r="A324" s="23">
        <f>IFERROR(__xludf.DUMMYFUNCTION("""COMPUTED_VALUE"""),44884.0)</f>
        <v>44884</v>
      </c>
      <c r="B324" s="21">
        <f>IFERROR(__xludf.DUMMYFUNCTION("""COMPUTED_VALUE"""),501.58333333333337)</f>
        <v>501.5833333</v>
      </c>
      <c r="C324" s="22">
        <f>IFERROR(__xludf.DUMMYFUNCTION("""COMPUTED_VALUE"""),375.95)</f>
        <v>375.95</v>
      </c>
      <c r="D324" s="22">
        <f>IFERROR(__xludf.DUMMYFUNCTION("""COMPUTED_VALUE"""),564.4)</f>
        <v>564.4</v>
      </c>
      <c r="E324" s="21">
        <f>IFERROR(__xludf.DUMMYFUNCTION("""COMPUTED_VALUE"""),238.1901953329421)</f>
        <v>238.1901953</v>
      </c>
      <c r="F324" s="21">
        <f>IFERROR(__xludf.DUMMYFUNCTION("""COMPUTED_VALUE"""),279.4)</f>
        <v>279.4</v>
      </c>
      <c r="G324" s="21">
        <f>IFERROR(__xludf.DUMMYFUNCTION("""COMPUTED_VALUE"""),469.32849364791286)</f>
        <v>469.3284936</v>
      </c>
    </row>
    <row r="325">
      <c r="A325" s="23">
        <f>IFERROR(__xludf.DUMMYFUNCTION("""COMPUTED_VALUE"""),44885.0)</f>
        <v>44885</v>
      </c>
      <c r="B325" s="21">
        <f>IFERROR(__xludf.DUMMYFUNCTION("""COMPUTED_VALUE"""),501.58333333333337)</f>
        <v>501.5833333</v>
      </c>
      <c r="C325" s="22">
        <f>IFERROR(__xludf.DUMMYFUNCTION("""COMPUTED_VALUE"""),375.95)</f>
        <v>375.95</v>
      </c>
      <c r="D325" s="22">
        <f>IFERROR(__xludf.DUMMYFUNCTION("""COMPUTED_VALUE"""),564.4)</f>
        <v>564.4</v>
      </c>
      <c r="E325" s="21">
        <f>IFERROR(__xludf.DUMMYFUNCTION("""COMPUTED_VALUE"""),243.8895414382644)</f>
        <v>243.8895414</v>
      </c>
      <c r="F325" s="21">
        <f>IFERROR(__xludf.DUMMYFUNCTION("""COMPUTED_VALUE"""),279.4)</f>
        <v>279.4</v>
      </c>
      <c r="G325" s="21">
        <f>IFERROR(__xludf.DUMMYFUNCTION("""COMPUTED_VALUE"""),469.32849364791286)</f>
        <v>469.3284936</v>
      </c>
    </row>
    <row r="326">
      <c r="A326" s="23">
        <f>IFERROR(__xludf.DUMMYFUNCTION("""COMPUTED_VALUE"""),44886.0)</f>
        <v>44886</v>
      </c>
      <c r="B326" s="21">
        <f>IFERROR(__xludf.DUMMYFUNCTION("""COMPUTED_VALUE"""),523.58)</f>
        <v>523.58</v>
      </c>
      <c r="C326" s="22">
        <f>IFERROR(__xludf.DUMMYFUNCTION("""COMPUTED_VALUE"""),406.54999999999995)</f>
        <v>406.55</v>
      </c>
      <c r="D326" s="22">
        <f>IFERROR(__xludf.DUMMYFUNCTION("""COMPUTED_VALUE"""),564.4)</f>
        <v>564.4</v>
      </c>
      <c r="E326" s="21">
        <f>IFERROR(__xludf.DUMMYFUNCTION("""COMPUTED_VALUE"""),249.5353316875588)</f>
        <v>249.5353317</v>
      </c>
      <c r="F326" s="21">
        <f>IFERROR(__xludf.DUMMYFUNCTION("""COMPUTED_VALUE"""),280.0925)</f>
        <v>280.0925</v>
      </c>
      <c r="G326" s="21">
        <f>IFERROR(__xludf.DUMMYFUNCTION("""COMPUTED_VALUE"""),469.32849364791286)</f>
        <v>469.3284936</v>
      </c>
    </row>
    <row r="327">
      <c r="A327" s="23">
        <f>IFERROR(__xludf.DUMMYFUNCTION("""COMPUTED_VALUE"""),44887.0)</f>
        <v>44887</v>
      </c>
      <c r="B327" s="21">
        <f>IFERROR(__xludf.DUMMYFUNCTION("""COMPUTED_VALUE"""),523.58)</f>
        <v>523.58</v>
      </c>
      <c r="C327" s="22">
        <f>IFERROR(__xludf.DUMMYFUNCTION("""COMPUTED_VALUE"""),406.54999999999995)</f>
        <v>406.55</v>
      </c>
      <c r="D327" s="22">
        <f>IFERROR(__xludf.DUMMYFUNCTION("""COMPUTED_VALUE"""),564.4)</f>
        <v>564.4</v>
      </c>
      <c r="E327" s="21">
        <f>IFERROR(__xludf.DUMMYFUNCTION("""COMPUTED_VALUE"""),246.13985191880218)</f>
        <v>246.1398519</v>
      </c>
      <c r="F327" s="21">
        <f>IFERROR(__xludf.DUMMYFUNCTION("""COMPUTED_VALUE"""),280.78499999999997)</f>
        <v>280.785</v>
      </c>
      <c r="G327" s="21">
        <f>IFERROR(__xludf.DUMMYFUNCTION("""COMPUTED_VALUE"""),469.32849364791286)</f>
        <v>469.3284936</v>
      </c>
    </row>
    <row r="328">
      <c r="A328" s="23">
        <f>IFERROR(__xludf.DUMMYFUNCTION("""COMPUTED_VALUE"""),44888.0)</f>
        <v>44888</v>
      </c>
      <c r="B328" s="21">
        <f>IFERROR(__xludf.DUMMYFUNCTION("""COMPUTED_VALUE"""),523.58)</f>
        <v>523.58</v>
      </c>
      <c r="C328" s="22">
        <f>IFERROR(__xludf.DUMMYFUNCTION("""COMPUTED_VALUE"""),406.54999999999995)</f>
        <v>406.55</v>
      </c>
      <c r="D328" s="22">
        <f>IFERROR(__xludf.DUMMYFUNCTION("""COMPUTED_VALUE"""),564.4)</f>
        <v>564.4</v>
      </c>
      <c r="E328" s="21">
        <f>IFERROR(__xludf.DUMMYFUNCTION("""COMPUTED_VALUE"""),242.61768855283177)</f>
        <v>242.6176886</v>
      </c>
      <c r="F328" s="21">
        <f>IFERROR(__xludf.DUMMYFUNCTION("""COMPUTED_VALUE"""),281.47749999999996)</f>
        <v>281.4775</v>
      </c>
      <c r="G328" s="21">
        <f>IFERROR(__xludf.DUMMYFUNCTION("""COMPUTED_VALUE"""),469.32849364791286)</f>
        <v>469.3284936</v>
      </c>
    </row>
    <row r="329">
      <c r="A329" s="23">
        <f>IFERROR(__xludf.DUMMYFUNCTION("""COMPUTED_VALUE"""),44889.0)</f>
        <v>44889</v>
      </c>
      <c r="B329" s="21">
        <f>IFERROR(__xludf.DUMMYFUNCTION("""COMPUTED_VALUE"""),523.58)</f>
        <v>523.58</v>
      </c>
      <c r="C329" s="22">
        <f>IFERROR(__xludf.DUMMYFUNCTION("""COMPUTED_VALUE"""),406.54999999999995)</f>
        <v>406.55</v>
      </c>
      <c r="D329" s="22">
        <f>IFERROR(__xludf.DUMMYFUNCTION("""COMPUTED_VALUE"""),564.4)</f>
        <v>564.4</v>
      </c>
      <c r="E329" s="21">
        <f>IFERROR(__xludf.DUMMYFUNCTION("""COMPUTED_VALUE"""),249.10092117380984)</f>
        <v>249.1009212</v>
      </c>
      <c r="F329" s="21">
        <f>IFERROR(__xludf.DUMMYFUNCTION("""COMPUTED_VALUE"""),282.16999999999996)</f>
        <v>282.17</v>
      </c>
      <c r="G329" s="21">
        <f>IFERROR(__xludf.DUMMYFUNCTION("""COMPUTED_VALUE"""),469.32849364791286)</f>
        <v>469.3284936</v>
      </c>
    </row>
    <row r="330">
      <c r="A330" s="23">
        <f>IFERROR(__xludf.DUMMYFUNCTION("""COMPUTED_VALUE"""),44890.0)</f>
        <v>44890</v>
      </c>
      <c r="B330" s="21">
        <f>IFERROR(__xludf.DUMMYFUNCTION("""COMPUTED_VALUE"""),523.58)</f>
        <v>523.58</v>
      </c>
      <c r="C330" s="22">
        <f>IFERROR(__xludf.DUMMYFUNCTION("""COMPUTED_VALUE"""),406.54999999999995)</f>
        <v>406.55</v>
      </c>
      <c r="D330" s="22">
        <f>IFERROR(__xludf.DUMMYFUNCTION("""COMPUTED_VALUE"""),564.4)</f>
        <v>564.4</v>
      </c>
      <c r="E330" s="21">
        <f>IFERROR(__xludf.DUMMYFUNCTION("""COMPUTED_VALUE"""),255.41950062966495)</f>
        <v>255.4195006</v>
      </c>
      <c r="F330" s="21">
        <f>IFERROR(__xludf.DUMMYFUNCTION("""COMPUTED_VALUE"""),282.8625)</f>
        <v>282.8625</v>
      </c>
      <c r="G330" s="21">
        <f>IFERROR(__xludf.DUMMYFUNCTION("""COMPUTED_VALUE"""),469.32849364791286)</f>
        <v>469.3284936</v>
      </c>
    </row>
    <row r="331">
      <c r="A331" s="23">
        <f>IFERROR(__xludf.DUMMYFUNCTION("""COMPUTED_VALUE"""),44891.0)</f>
        <v>44891</v>
      </c>
      <c r="B331" s="21">
        <f>IFERROR(__xludf.DUMMYFUNCTION("""COMPUTED_VALUE"""),523.58)</f>
        <v>523.58</v>
      </c>
      <c r="C331" s="22">
        <f>IFERROR(__xludf.DUMMYFUNCTION("""COMPUTED_VALUE"""),406.54999999999995)</f>
        <v>406.55</v>
      </c>
      <c r="D331" s="22">
        <f>IFERROR(__xludf.DUMMYFUNCTION("""COMPUTED_VALUE"""),564.4)</f>
        <v>564.4</v>
      </c>
      <c r="E331" s="21">
        <f>IFERROR(__xludf.DUMMYFUNCTION("""COMPUTED_VALUE"""),261.1781606621015)</f>
        <v>261.1781607</v>
      </c>
      <c r="F331" s="21">
        <f>IFERROR(__xludf.DUMMYFUNCTION("""COMPUTED_VALUE"""),282.8625)</f>
        <v>282.8625</v>
      </c>
      <c r="G331" s="21">
        <f>IFERROR(__xludf.DUMMYFUNCTION("""COMPUTED_VALUE"""),469.32849364791286)</f>
        <v>469.3284936</v>
      </c>
    </row>
    <row r="332">
      <c r="A332" s="23">
        <f>IFERROR(__xludf.DUMMYFUNCTION("""COMPUTED_VALUE"""),44892.0)</f>
        <v>44892</v>
      </c>
      <c r="B332" s="21">
        <f>IFERROR(__xludf.DUMMYFUNCTION("""COMPUTED_VALUE"""),523.58)</f>
        <v>523.58</v>
      </c>
      <c r="C332" s="22">
        <f>IFERROR(__xludf.DUMMYFUNCTION("""COMPUTED_VALUE"""),406.54999999999995)</f>
        <v>406.55</v>
      </c>
      <c r="D332" s="22">
        <f>IFERROR(__xludf.DUMMYFUNCTION("""COMPUTED_VALUE"""),564.4)</f>
        <v>564.4</v>
      </c>
      <c r="E332" s="21">
        <f>IFERROR(__xludf.DUMMYFUNCTION("""COMPUTED_VALUE"""),261.77586956935517)</f>
        <v>261.7758696</v>
      </c>
      <c r="F332" s="21">
        <f>IFERROR(__xludf.DUMMYFUNCTION("""COMPUTED_VALUE"""),282.8625)</f>
        <v>282.8625</v>
      </c>
      <c r="G332" s="21">
        <f>IFERROR(__xludf.DUMMYFUNCTION("""COMPUTED_VALUE"""),469.32849364791286)</f>
        <v>469.3284936</v>
      </c>
    </row>
    <row r="333">
      <c r="A333" s="23">
        <f>IFERROR(__xludf.DUMMYFUNCTION("""COMPUTED_VALUE"""),44893.0)</f>
        <v>44893</v>
      </c>
      <c r="B333" s="21">
        <f>IFERROR(__xludf.DUMMYFUNCTION("""COMPUTED_VALUE"""),522.49)</f>
        <v>522.49</v>
      </c>
      <c r="C333" s="22">
        <f>IFERROR(__xludf.DUMMYFUNCTION("""COMPUTED_VALUE"""),403.79)</f>
        <v>403.79</v>
      </c>
      <c r="D333" s="22">
        <f>IFERROR(__xludf.DUMMYFUNCTION("""COMPUTED_VALUE"""),564.41)</f>
        <v>564.41</v>
      </c>
      <c r="E333" s="21">
        <f>IFERROR(__xludf.DUMMYFUNCTION("""COMPUTED_VALUE"""),273.829838655705)</f>
        <v>273.8298387</v>
      </c>
      <c r="F333" s="21">
        <f>IFERROR(__xludf.DUMMYFUNCTION("""COMPUTED_VALUE"""),287.066)</f>
        <v>287.066</v>
      </c>
      <c r="G333" s="21">
        <f>IFERROR(__xludf.DUMMYFUNCTION("""COMPUTED_VALUE"""),469.32849364791286)</f>
        <v>469.3284936</v>
      </c>
    </row>
    <row r="334">
      <c r="A334" s="23">
        <f>IFERROR(__xludf.DUMMYFUNCTION("""COMPUTED_VALUE"""),44894.0)</f>
        <v>44894</v>
      </c>
      <c r="B334" s="21">
        <f>IFERROR(__xludf.DUMMYFUNCTION("""COMPUTED_VALUE"""),522.49)</f>
        <v>522.49</v>
      </c>
      <c r="C334" s="22">
        <f>IFERROR(__xludf.DUMMYFUNCTION("""COMPUTED_VALUE"""),403.79)</f>
        <v>403.79</v>
      </c>
      <c r="D334" s="22">
        <f>IFERROR(__xludf.DUMMYFUNCTION("""COMPUTED_VALUE"""),564.41)</f>
        <v>564.41</v>
      </c>
      <c r="E334" s="21">
        <f>IFERROR(__xludf.DUMMYFUNCTION("""COMPUTED_VALUE"""),294.83986939787263)</f>
        <v>294.8398694</v>
      </c>
      <c r="F334" s="21">
        <f>IFERROR(__xludf.DUMMYFUNCTION("""COMPUTED_VALUE"""),291.26950000000005)</f>
        <v>291.2695</v>
      </c>
      <c r="G334" s="21">
        <f>IFERROR(__xludf.DUMMYFUNCTION("""COMPUTED_VALUE"""),469.32849364791286)</f>
        <v>469.3284936</v>
      </c>
    </row>
    <row r="335">
      <c r="A335" s="23">
        <f>IFERROR(__xludf.DUMMYFUNCTION("""COMPUTED_VALUE"""),44895.0)</f>
        <v>44895</v>
      </c>
      <c r="B335" s="21">
        <f>IFERROR(__xludf.DUMMYFUNCTION("""COMPUTED_VALUE"""),522.49)</f>
        <v>522.49</v>
      </c>
      <c r="C335" s="22">
        <f>IFERROR(__xludf.DUMMYFUNCTION("""COMPUTED_VALUE"""),403.79)</f>
        <v>403.79</v>
      </c>
      <c r="D335" s="22">
        <f>IFERROR(__xludf.DUMMYFUNCTION("""COMPUTED_VALUE"""),564.41)</f>
        <v>564.41</v>
      </c>
      <c r="E335" s="21">
        <f>IFERROR(__xludf.DUMMYFUNCTION("""COMPUTED_VALUE"""),316.5839262498602)</f>
        <v>316.5839262</v>
      </c>
      <c r="F335" s="21">
        <f>IFERROR(__xludf.DUMMYFUNCTION("""COMPUTED_VALUE"""),295.47300000000007)</f>
        <v>295.473</v>
      </c>
      <c r="G335" s="21">
        <f>IFERROR(__xludf.DUMMYFUNCTION("""COMPUTED_VALUE"""),469.32849364791286)</f>
        <v>469.3284936</v>
      </c>
    </row>
    <row r="336">
      <c r="A336" s="23">
        <f>IFERROR(__xludf.DUMMYFUNCTION("""COMPUTED_VALUE"""),44896.0)</f>
        <v>44896</v>
      </c>
      <c r="B336" s="21">
        <f>IFERROR(__xludf.DUMMYFUNCTION("""COMPUTED_VALUE"""),522.49)</f>
        <v>522.49</v>
      </c>
      <c r="C336" s="22">
        <f>IFERROR(__xludf.DUMMYFUNCTION("""COMPUTED_VALUE"""),403.79)</f>
        <v>403.79</v>
      </c>
      <c r="D336" s="22">
        <f>IFERROR(__xludf.DUMMYFUNCTION("""COMPUTED_VALUE"""),564.41)</f>
        <v>564.41</v>
      </c>
      <c r="E336" s="21">
        <f>IFERROR(__xludf.DUMMYFUNCTION("""COMPUTED_VALUE"""),329.506732733269)</f>
        <v>329.5067327</v>
      </c>
      <c r="F336" s="21">
        <f>IFERROR(__xludf.DUMMYFUNCTION("""COMPUTED_VALUE"""),298.625625)</f>
        <v>298.625625</v>
      </c>
      <c r="G336" s="21">
        <f>IFERROR(__xludf.DUMMYFUNCTION("""COMPUTED_VALUE"""),469.32849364791286)</f>
        <v>469.3284936</v>
      </c>
    </row>
    <row r="337">
      <c r="A337" s="20">
        <f>IFERROR(__xludf.DUMMYFUNCTION("""COMPUTED_VALUE"""),44897.0)</f>
        <v>44897</v>
      </c>
      <c r="B337" s="21">
        <f>IFERROR(__xludf.DUMMYFUNCTION("""COMPUTED_VALUE"""),522.49)</f>
        <v>522.49</v>
      </c>
      <c r="C337" s="22">
        <f>IFERROR(__xludf.DUMMYFUNCTION("""COMPUTED_VALUE"""),403.79)</f>
        <v>403.79</v>
      </c>
      <c r="D337" s="22">
        <f>IFERROR(__xludf.DUMMYFUNCTION("""COMPUTED_VALUE"""),564.41)</f>
        <v>564.41</v>
      </c>
      <c r="E337" s="21">
        <f>IFERROR(__xludf.DUMMYFUNCTION("""COMPUTED_VALUE"""),342.7557255558108)</f>
        <v>342.7557256</v>
      </c>
      <c r="F337" s="21">
        <f>IFERROR(__xludf.DUMMYFUNCTION("""COMPUTED_VALUE"""),303.88)</f>
        <v>303.88</v>
      </c>
      <c r="G337" s="21">
        <f>IFERROR(__xludf.DUMMYFUNCTION("""COMPUTED_VALUE"""),469.32849364791286)</f>
        <v>469.3284936</v>
      </c>
    </row>
    <row r="338">
      <c r="A338" s="20">
        <f>IFERROR(__xludf.DUMMYFUNCTION("""COMPUTED_VALUE"""),44898.0)</f>
        <v>44898</v>
      </c>
      <c r="B338" s="21">
        <f>IFERROR(__xludf.DUMMYFUNCTION("""COMPUTED_VALUE"""),522.49)</f>
        <v>522.49</v>
      </c>
      <c r="C338" s="22">
        <f>IFERROR(__xludf.DUMMYFUNCTION("""COMPUTED_VALUE"""),403.79)</f>
        <v>403.79</v>
      </c>
      <c r="D338" s="22">
        <f>IFERROR(__xludf.DUMMYFUNCTION("""COMPUTED_VALUE"""),564.41)</f>
        <v>564.41</v>
      </c>
      <c r="E338" s="21">
        <f>IFERROR(__xludf.DUMMYFUNCTION("""COMPUTED_VALUE"""),349.6759242409539)</f>
        <v>349.6759242</v>
      </c>
      <c r="F338" s="21">
        <f>IFERROR(__xludf.DUMMYFUNCTION("""COMPUTED_VALUE"""),303.88)</f>
        <v>303.88</v>
      </c>
      <c r="G338" s="21">
        <f>IFERROR(__xludf.DUMMYFUNCTION("""COMPUTED_VALUE"""),469.32849364791286)</f>
        <v>469.3284936</v>
      </c>
    </row>
    <row r="339">
      <c r="A339" s="20">
        <f>IFERROR(__xludf.DUMMYFUNCTION("""COMPUTED_VALUE"""),44899.0)</f>
        <v>44899</v>
      </c>
      <c r="B339" s="21">
        <f>IFERROR(__xludf.DUMMYFUNCTION("""COMPUTED_VALUE"""),522.49)</f>
        <v>522.49</v>
      </c>
      <c r="C339" s="22">
        <f>IFERROR(__xludf.DUMMYFUNCTION("""COMPUTED_VALUE"""),403.79)</f>
        <v>403.79</v>
      </c>
      <c r="D339" s="22">
        <f>IFERROR(__xludf.DUMMYFUNCTION("""COMPUTED_VALUE"""),564.41)</f>
        <v>564.41</v>
      </c>
      <c r="E339" s="21">
        <f>IFERROR(__xludf.DUMMYFUNCTION("""COMPUTED_VALUE"""),362.9922191527853)</f>
        <v>362.9922192</v>
      </c>
      <c r="F339" s="21">
        <f>IFERROR(__xludf.DUMMYFUNCTION("""COMPUTED_VALUE"""),303.88)</f>
        <v>303.88</v>
      </c>
      <c r="G339" s="21">
        <f>IFERROR(__xludf.DUMMYFUNCTION("""COMPUTED_VALUE"""),469.32849364791286)</f>
        <v>469.3284936</v>
      </c>
    </row>
    <row r="340">
      <c r="A340" s="20">
        <f>IFERROR(__xludf.DUMMYFUNCTION("""COMPUTED_VALUE"""),44900.0)</f>
        <v>44900</v>
      </c>
      <c r="B340" s="21">
        <f>IFERROR(__xludf.DUMMYFUNCTION("""COMPUTED_VALUE"""),522.4900182)</f>
        <v>522.4900182</v>
      </c>
      <c r="C340" s="22">
        <f>IFERROR(__xludf.DUMMYFUNCTION("""COMPUTED_VALUE"""),403.793)</f>
        <v>403.793</v>
      </c>
      <c r="D340" s="22">
        <f>IFERROR(__xludf.DUMMYFUNCTION("""COMPUTED_VALUE"""),564.41)</f>
        <v>564.41</v>
      </c>
      <c r="E340" s="21">
        <f>IFERROR(__xludf.DUMMYFUNCTION("""COMPUTED_VALUE"""),367.7199786371934)</f>
        <v>367.7199786</v>
      </c>
      <c r="F340" s="21">
        <f>IFERROR(__xludf.DUMMYFUNCTION("""COMPUTED_VALUE"""),303.88)</f>
        <v>303.88</v>
      </c>
      <c r="G340" s="21">
        <f>IFERROR(__xludf.DUMMYFUNCTION("""COMPUTED_VALUE"""),469.32849364791286)</f>
        <v>469.3284936</v>
      </c>
    </row>
    <row r="341">
      <c r="A341" s="20">
        <f>IFERROR(__xludf.DUMMYFUNCTION("""COMPUTED_VALUE"""),44901.0)</f>
        <v>44901</v>
      </c>
      <c r="B341" s="21">
        <f>IFERROR(__xludf.DUMMYFUNCTION("""COMPUTED_VALUE"""),522.4900182)</f>
        <v>522.4900182</v>
      </c>
      <c r="C341" s="22">
        <f>IFERROR(__xludf.DUMMYFUNCTION("""COMPUTED_VALUE"""),403.793)</f>
        <v>403.793</v>
      </c>
      <c r="D341" s="22">
        <f>IFERROR(__xludf.DUMMYFUNCTION("""COMPUTED_VALUE"""),564.41)</f>
        <v>564.41</v>
      </c>
      <c r="E341" s="21">
        <f>IFERROR(__xludf.DUMMYFUNCTION("""COMPUTED_VALUE"""),371.93139118176083)</f>
        <v>371.9313912</v>
      </c>
      <c r="F341" s="21">
        <f>IFERROR(__xludf.DUMMYFUNCTION("""COMPUTED_VALUE"""),303.88)</f>
        <v>303.88</v>
      </c>
      <c r="G341" s="21">
        <f>IFERROR(__xludf.DUMMYFUNCTION("""COMPUTED_VALUE"""),469.32849364791286)</f>
        <v>469.3284936</v>
      </c>
    </row>
    <row r="342">
      <c r="A342" s="20">
        <f>IFERROR(__xludf.DUMMYFUNCTION("""COMPUTED_VALUE"""),44902.0)</f>
        <v>44902</v>
      </c>
      <c r="B342" s="21">
        <f>IFERROR(__xludf.DUMMYFUNCTION("""COMPUTED_VALUE"""),522.4900182)</f>
        <v>522.4900182</v>
      </c>
      <c r="C342" s="22">
        <f>IFERROR(__xludf.DUMMYFUNCTION("""COMPUTED_VALUE"""),403.793)</f>
        <v>403.793</v>
      </c>
      <c r="D342" s="22">
        <f>IFERROR(__xludf.DUMMYFUNCTION("""COMPUTED_VALUE"""),564.41)</f>
        <v>564.41</v>
      </c>
      <c r="E342" s="21">
        <f>IFERROR(__xludf.DUMMYFUNCTION("""COMPUTED_VALUE"""),370.8676456148547)</f>
        <v>370.8676456</v>
      </c>
      <c r="F342" s="21">
        <f>IFERROR(__xludf.DUMMYFUNCTION("""COMPUTED_VALUE"""),303.88)</f>
        <v>303.88</v>
      </c>
      <c r="G342" s="21">
        <f>IFERROR(__xludf.DUMMYFUNCTION("""COMPUTED_VALUE"""),469.32849364791286)</f>
        <v>469.3284936</v>
      </c>
    </row>
    <row r="343">
      <c r="A343" s="20">
        <f>IFERROR(__xludf.DUMMYFUNCTION("""COMPUTED_VALUE"""),44903.0)</f>
        <v>44903</v>
      </c>
      <c r="B343" s="21">
        <f>IFERROR(__xludf.DUMMYFUNCTION("""COMPUTED_VALUE"""),522.4900182)</f>
        <v>522.4900182</v>
      </c>
      <c r="C343" s="22">
        <f>IFERROR(__xludf.DUMMYFUNCTION("""COMPUTED_VALUE"""),403.793)</f>
        <v>403.793</v>
      </c>
      <c r="D343" s="22">
        <f>IFERROR(__xludf.DUMMYFUNCTION("""COMPUTED_VALUE"""),564.41)</f>
        <v>564.41</v>
      </c>
      <c r="E343" s="21">
        <f>IFERROR(__xludf.DUMMYFUNCTION("""COMPUTED_VALUE"""),366.6841132571429)</f>
        <v>366.6841133</v>
      </c>
      <c r="F343" s="21">
        <f>IFERROR(__xludf.DUMMYFUNCTION("""COMPUTED_VALUE"""),303.88)</f>
        <v>303.88</v>
      </c>
      <c r="G343" s="21">
        <f>IFERROR(__xludf.DUMMYFUNCTION("""COMPUTED_VALUE"""),469.32849364791286)</f>
        <v>469.3284936</v>
      </c>
    </row>
    <row r="344">
      <c r="A344" s="20">
        <f>IFERROR(__xludf.DUMMYFUNCTION("""COMPUTED_VALUE"""),44904.0)</f>
        <v>44904</v>
      </c>
      <c r="B344" s="21">
        <f>IFERROR(__xludf.DUMMYFUNCTION("""COMPUTED_VALUE"""),522.4900182)</f>
        <v>522.4900182</v>
      </c>
      <c r="C344" s="22">
        <f>IFERROR(__xludf.DUMMYFUNCTION("""COMPUTED_VALUE"""),403.793)</f>
        <v>403.793</v>
      </c>
      <c r="D344" s="22">
        <f>IFERROR(__xludf.DUMMYFUNCTION("""COMPUTED_VALUE"""),564.41)</f>
        <v>564.41</v>
      </c>
      <c r="E344" s="21">
        <f>IFERROR(__xludf.DUMMYFUNCTION("""COMPUTED_VALUE"""),367.6026994142857)</f>
        <v>367.6026994</v>
      </c>
      <c r="F344" s="21">
        <f>IFERROR(__xludf.DUMMYFUNCTION("""COMPUTED_VALUE"""),303.88)</f>
        <v>303.88</v>
      </c>
      <c r="G344" s="21">
        <f>IFERROR(__xludf.DUMMYFUNCTION("""COMPUTED_VALUE"""),469.32849364791286)</f>
        <v>469.3284936</v>
      </c>
    </row>
    <row r="345">
      <c r="A345" s="20">
        <f>IFERROR(__xludf.DUMMYFUNCTION("""COMPUTED_VALUE"""),44905.0)</f>
        <v>44905</v>
      </c>
      <c r="B345" s="21">
        <f>IFERROR(__xludf.DUMMYFUNCTION("""COMPUTED_VALUE"""),522.4900182)</f>
        <v>522.4900182</v>
      </c>
      <c r="C345" s="22">
        <f>IFERROR(__xludf.DUMMYFUNCTION("""COMPUTED_VALUE"""),403.793)</f>
        <v>403.793</v>
      </c>
      <c r="D345" s="22">
        <f>IFERROR(__xludf.DUMMYFUNCTION("""COMPUTED_VALUE"""),564.41)</f>
        <v>564.41</v>
      </c>
      <c r="E345" s="21">
        <f>IFERROR(__xludf.DUMMYFUNCTION("""COMPUTED_VALUE"""),373.2559112285714)</f>
        <v>373.2559112</v>
      </c>
      <c r="F345" s="21">
        <f>IFERROR(__xludf.DUMMYFUNCTION("""COMPUTED_VALUE"""),303.88)</f>
        <v>303.88</v>
      </c>
      <c r="G345" s="21">
        <f>IFERROR(__xludf.DUMMYFUNCTION("""COMPUTED_VALUE"""),469.32849364791286)</f>
        <v>469.3284936</v>
      </c>
    </row>
    <row r="346">
      <c r="A346" s="24">
        <f>IFERROR(__xludf.DUMMYFUNCTION("""COMPUTED_VALUE"""),44906.0)</f>
        <v>44906</v>
      </c>
      <c r="B346" s="21">
        <f>IFERROR(__xludf.DUMMYFUNCTION("""COMPUTED_VALUE"""),522.4900182)</f>
        <v>522.4900182</v>
      </c>
      <c r="C346" s="22">
        <f>IFERROR(__xludf.DUMMYFUNCTION("""COMPUTED_VALUE"""),403.793)</f>
        <v>403.793</v>
      </c>
      <c r="D346" s="22">
        <f>IFERROR(__xludf.DUMMYFUNCTION("""COMPUTED_VALUE"""),564.41)</f>
        <v>564.41</v>
      </c>
      <c r="E346" s="21">
        <f>IFERROR(__xludf.DUMMYFUNCTION("""COMPUTED_VALUE"""),371.6723617428571)</f>
        <v>371.6723617</v>
      </c>
      <c r="F346" s="21">
        <f>IFERROR(__xludf.DUMMYFUNCTION("""COMPUTED_VALUE"""),303.88)</f>
        <v>303.88</v>
      </c>
      <c r="G346" s="21">
        <f>IFERROR(__xludf.DUMMYFUNCTION("""COMPUTED_VALUE"""),469.32849364791286)</f>
        <v>469.3284936</v>
      </c>
    </row>
    <row r="347">
      <c r="A347" s="24">
        <f>IFERROR(__xludf.DUMMYFUNCTION("""COMPUTED_VALUE"""),44907.0)</f>
        <v>44907</v>
      </c>
      <c r="B347" s="21">
        <f>IFERROR(__xludf.DUMMYFUNCTION("""COMPUTED_VALUE"""),522.4900182)</f>
        <v>522.4900182</v>
      </c>
      <c r="C347" s="22">
        <f>IFERROR(__xludf.DUMMYFUNCTION("""COMPUTED_VALUE"""),403.793)</f>
        <v>403.793</v>
      </c>
      <c r="D347" s="22">
        <f>IFERROR(__xludf.DUMMYFUNCTION("""COMPUTED_VALUE"""),564.41)</f>
        <v>564.41</v>
      </c>
      <c r="E347" s="21">
        <f>IFERROR(__xludf.DUMMYFUNCTION("""COMPUTED_VALUE"""),380.4695051285715)</f>
        <v>380.4695051</v>
      </c>
      <c r="F347" s="21">
        <f>IFERROR(__xludf.DUMMYFUNCTION("""COMPUTED_VALUE"""),311.4615)</f>
        <v>311.4615</v>
      </c>
      <c r="G347" s="21">
        <f>IFERROR(__xludf.DUMMYFUNCTION("""COMPUTED_VALUE"""),469.32849364791286)</f>
        <v>469.3284936</v>
      </c>
    </row>
    <row r="348">
      <c r="A348" s="24">
        <f>IFERROR(__xludf.DUMMYFUNCTION("""COMPUTED_VALUE"""),44908.0)</f>
        <v>44908</v>
      </c>
      <c r="B348" s="21">
        <f>IFERROR(__xludf.DUMMYFUNCTION("""COMPUTED_VALUE"""),522.4900182)</f>
        <v>522.4900182</v>
      </c>
      <c r="C348" s="22">
        <f>IFERROR(__xludf.DUMMYFUNCTION("""COMPUTED_VALUE"""),403.793)</f>
        <v>403.793</v>
      </c>
      <c r="D348" s="22">
        <f>IFERROR(__xludf.DUMMYFUNCTION("""COMPUTED_VALUE"""),564.41)</f>
        <v>564.41</v>
      </c>
      <c r="E348" s="21">
        <f>IFERROR(__xludf.DUMMYFUNCTION("""COMPUTED_VALUE"""),384.3131106857143)</f>
        <v>384.3131107</v>
      </c>
      <c r="F348" s="21">
        <f>IFERROR(__xludf.DUMMYFUNCTION("""COMPUTED_VALUE"""),319.043)</f>
        <v>319.043</v>
      </c>
      <c r="G348" s="21">
        <f>IFERROR(__xludf.DUMMYFUNCTION("""COMPUTED_VALUE"""),469.32849364791286)</f>
        <v>469.3284936</v>
      </c>
    </row>
    <row r="349">
      <c r="A349" s="23">
        <f>IFERROR(__xludf.DUMMYFUNCTION("""COMPUTED_VALUE"""),44909.0)</f>
        <v>44909</v>
      </c>
      <c r="B349" s="21">
        <f>IFERROR(__xludf.DUMMYFUNCTION("""COMPUTED_VALUE"""),522.4900182)</f>
        <v>522.4900182</v>
      </c>
      <c r="C349" s="22">
        <f>IFERROR(__xludf.DUMMYFUNCTION("""COMPUTED_VALUE"""),403.793)</f>
        <v>403.793</v>
      </c>
      <c r="D349" s="22">
        <f>IFERROR(__xludf.DUMMYFUNCTION("""COMPUTED_VALUE"""),564.41)</f>
        <v>564.41</v>
      </c>
      <c r="E349" s="21">
        <f>IFERROR(__xludf.DUMMYFUNCTION("""COMPUTED_VALUE"""),390.2516245285714)</f>
        <v>390.2516245</v>
      </c>
      <c r="F349" s="21">
        <f>IFERROR(__xludf.DUMMYFUNCTION("""COMPUTED_VALUE"""),326.514)</f>
        <v>326.514</v>
      </c>
      <c r="G349" s="21">
        <f>IFERROR(__xludf.DUMMYFUNCTION("""COMPUTED_VALUE"""),469.32849364791286)</f>
        <v>469.3284936</v>
      </c>
    </row>
    <row r="350">
      <c r="A350" s="23">
        <f>IFERROR(__xludf.DUMMYFUNCTION("""COMPUTED_VALUE"""),44910.0)</f>
        <v>44910</v>
      </c>
      <c r="B350" s="21">
        <f>IFERROR(__xludf.DUMMYFUNCTION("""COMPUTED_VALUE"""),522.4900182)</f>
        <v>522.4900182</v>
      </c>
      <c r="C350" s="22">
        <f>IFERROR(__xludf.DUMMYFUNCTION("""COMPUTED_VALUE"""),403.793)</f>
        <v>403.793</v>
      </c>
      <c r="D350" s="22">
        <f>IFERROR(__xludf.DUMMYFUNCTION("""COMPUTED_VALUE"""),564.41)</f>
        <v>564.41</v>
      </c>
      <c r="E350" s="21">
        <f>IFERROR(__xludf.DUMMYFUNCTION("""COMPUTED_VALUE"""),392.98015787142856)</f>
        <v>392.9801579</v>
      </c>
      <c r="F350" s="21">
        <f>IFERROR(__xludf.DUMMYFUNCTION("""COMPUTED_VALUE"""),333.985)</f>
        <v>333.985</v>
      </c>
      <c r="G350" s="21">
        <f>IFERROR(__xludf.DUMMYFUNCTION("""COMPUTED_VALUE"""),469.32849364791286)</f>
        <v>469.3284936</v>
      </c>
    </row>
    <row r="351">
      <c r="A351" s="23">
        <f>IFERROR(__xludf.DUMMYFUNCTION("""COMPUTED_VALUE"""),44911.0)</f>
        <v>44911</v>
      </c>
      <c r="B351" s="21">
        <f>IFERROR(__xludf.DUMMYFUNCTION("""COMPUTED_VALUE"""),522.4900182)</f>
        <v>522.4900182</v>
      </c>
      <c r="C351" s="22">
        <f>IFERROR(__xludf.DUMMYFUNCTION("""COMPUTED_VALUE"""),403.793)</f>
        <v>403.793</v>
      </c>
      <c r="D351" s="22">
        <f>IFERROR(__xludf.DUMMYFUNCTION("""COMPUTED_VALUE"""),564.41)</f>
        <v>564.41</v>
      </c>
      <c r="E351" s="21">
        <f>IFERROR(__xludf.DUMMYFUNCTION("""COMPUTED_VALUE"""),391.28777404285717)</f>
        <v>391.287774</v>
      </c>
      <c r="F351" s="21">
        <f>IFERROR(__xludf.DUMMYFUNCTION("""COMPUTED_VALUE"""),341.6705)</f>
        <v>341.6705</v>
      </c>
      <c r="G351" s="21">
        <f>IFERROR(__xludf.DUMMYFUNCTION("""COMPUTED_VALUE"""),469.32849364791286)</f>
        <v>469.3284936</v>
      </c>
    </row>
    <row r="352">
      <c r="A352" s="23">
        <f>IFERROR(__xludf.DUMMYFUNCTION("""COMPUTED_VALUE"""),44912.0)</f>
        <v>44912</v>
      </c>
      <c r="B352" s="21">
        <f>IFERROR(__xludf.DUMMYFUNCTION("""COMPUTED_VALUE"""),522.4900182)</f>
        <v>522.4900182</v>
      </c>
      <c r="C352" s="22">
        <f>IFERROR(__xludf.DUMMYFUNCTION("""COMPUTED_VALUE"""),403.793)</f>
        <v>403.793</v>
      </c>
      <c r="D352" s="22">
        <f>IFERROR(__xludf.DUMMYFUNCTION("""COMPUTED_VALUE"""),564.41)</f>
        <v>564.41</v>
      </c>
      <c r="E352" s="21">
        <f>IFERROR(__xludf.DUMMYFUNCTION("""COMPUTED_VALUE"""),381.4341452)</f>
        <v>381.4341452</v>
      </c>
      <c r="F352" s="21">
        <f>IFERROR(__xludf.DUMMYFUNCTION("""COMPUTED_VALUE"""),341.6705)</f>
        <v>341.6705</v>
      </c>
      <c r="G352" s="21">
        <f>IFERROR(__xludf.DUMMYFUNCTION("""COMPUTED_VALUE"""),469.32849364791286)</f>
        <v>469.3284936</v>
      </c>
    </row>
    <row r="353">
      <c r="A353" s="23">
        <f>IFERROR(__xludf.DUMMYFUNCTION("""COMPUTED_VALUE"""),44913.0)</f>
        <v>44913</v>
      </c>
      <c r="B353" s="21">
        <f>IFERROR(__xludf.DUMMYFUNCTION("""COMPUTED_VALUE"""),522.4900182)</f>
        <v>522.4900182</v>
      </c>
      <c r="C353" s="22">
        <f>IFERROR(__xludf.DUMMYFUNCTION("""COMPUTED_VALUE"""),403.793)</f>
        <v>403.793</v>
      </c>
      <c r="D353" s="22">
        <f>IFERROR(__xludf.DUMMYFUNCTION("""COMPUTED_VALUE"""),564.41)</f>
        <v>564.41</v>
      </c>
      <c r="E353" s="21">
        <f>IFERROR(__xludf.DUMMYFUNCTION("""COMPUTED_VALUE"""),374.0821826714286)</f>
        <v>374.0821827</v>
      </c>
      <c r="F353" s="21">
        <f>IFERROR(__xludf.DUMMYFUNCTION("""COMPUTED_VALUE"""),341.6705)</f>
        <v>341.6705</v>
      </c>
      <c r="G353" s="21">
        <f>IFERROR(__xludf.DUMMYFUNCTION("""COMPUTED_VALUE"""),469.32849364791286)</f>
        <v>469.3284936</v>
      </c>
    </row>
    <row r="354">
      <c r="A354" s="23">
        <f>IFERROR(__xludf.DUMMYFUNCTION("""COMPUTED_VALUE"""),44914.0)</f>
        <v>44914</v>
      </c>
      <c r="B354" s="21">
        <f>IFERROR(__xludf.DUMMYFUNCTION("""COMPUTED_VALUE"""),522.4900182)</f>
        <v>522.4900182</v>
      </c>
      <c r="C354" s="22">
        <f>IFERROR(__xludf.DUMMYFUNCTION("""COMPUTED_VALUE"""),403.793)</f>
        <v>403.793</v>
      </c>
      <c r="D354" s="22">
        <f>IFERROR(__xludf.DUMMYFUNCTION("""COMPUTED_VALUE"""),564.41)</f>
        <v>564.41</v>
      </c>
      <c r="E354" s="21">
        <f>IFERROR(__xludf.DUMMYFUNCTION("""COMPUTED_VALUE"""),346.9777317714285)</f>
        <v>346.9777318</v>
      </c>
      <c r="F354" s="21">
        <f>IFERROR(__xludf.DUMMYFUNCTION("""COMPUTED_VALUE"""),341.64125)</f>
        <v>341.64125</v>
      </c>
      <c r="G354" s="21">
        <f>IFERROR(__xludf.DUMMYFUNCTION("""COMPUTED_VALUE"""),469.32849364791286)</f>
        <v>469.3284936</v>
      </c>
    </row>
    <row r="355">
      <c r="A355" s="23">
        <f>IFERROR(__xludf.DUMMYFUNCTION("""COMPUTED_VALUE"""),44915.0)</f>
        <v>44915</v>
      </c>
      <c r="B355" s="21">
        <f>IFERROR(__xludf.DUMMYFUNCTION("""COMPUTED_VALUE"""),502.83)</f>
        <v>502.83</v>
      </c>
      <c r="C355" s="22">
        <f>IFERROR(__xludf.DUMMYFUNCTION("""COMPUTED_VALUE"""),379.655)</f>
        <v>379.655</v>
      </c>
      <c r="D355" s="22">
        <f>IFERROR(__xludf.DUMMYFUNCTION("""COMPUTED_VALUE"""),564.41)</f>
        <v>564.41</v>
      </c>
      <c r="E355" s="21">
        <f>IFERROR(__xludf.DUMMYFUNCTION("""COMPUTED_VALUE"""),323.77155344285717)</f>
        <v>323.7715534</v>
      </c>
      <c r="F355" s="21">
        <f>IFERROR(__xludf.DUMMYFUNCTION("""COMPUTED_VALUE"""),338.57062500000006)</f>
        <v>338.570625</v>
      </c>
      <c r="G355" s="21">
        <f>IFERROR(__xludf.DUMMYFUNCTION("""COMPUTED_VALUE"""),469.32849364791286)</f>
        <v>469.3284936</v>
      </c>
    </row>
    <row r="356">
      <c r="A356" s="23">
        <f>IFERROR(__xludf.DUMMYFUNCTION("""COMPUTED_VALUE"""),44916.0)</f>
        <v>44916</v>
      </c>
      <c r="B356" s="21">
        <f>IFERROR(__xludf.DUMMYFUNCTION("""COMPUTED_VALUE"""),502.83)</f>
        <v>502.83</v>
      </c>
      <c r="C356" s="22">
        <f>IFERROR(__xludf.DUMMYFUNCTION("""COMPUTED_VALUE"""),379.655)</f>
        <v>379.655</v>
      </c>
      <c r="D356" s="22">
        <f>IFERROR(__xludf.DUMMYFUNCTION("""COMPUTED_VALUE"""),564.41)</f>
        <v>564.41</v>
      </c>
      <c r="E356" s="21">
        <f>IFERROR(__xludf.DUMMYFUNCTION("""COMPUTED_VALUE"""),299.81425764285717)</f>
        <v>299.8142576</v>
      </c>
      <c r="F356" s="21">
        <f>IFERROR(__xludf.DUMMYFUNCTION("""COMPUTED_VALUE"""),335.638125)</f>
        <v>335.638125</v>
      </c>
      <c r="G356" s="21">
        <f>IFERROR(__xludf.DUMMYFUNCTION("""COMPUTED_VALUE"""),469.32849364791286)</f>
        <v>469.3284936</v>
      </c>
    </row>
    <row r="357">
      <c r="A357" s="23">
        <f>IFERROR(__xludf.DUMMYFUNCTION("""COMPUTED_VALUE"""),44917.0)</f>
        <v>44917</v>
      </c>
      <c r="B357" s="21">
        <f>IFERROR(__xludf.DUMMYFUNCTION("""COMPUTED_VALUE"""),502.83)</f>
        <v>502.83</v>
      </c>
      <c r="C357" s="22">
        <f>IFERROR(__xludf.DUMMYFUNCTION("""COMPUTED_VALUE"""),379.655)</f>
        <v>379.655</v>
      </c>
      <c r="D357" s="22">
        <f>IFERROR(__xludf.DUMMYFUNCTION("""COMPUTED_VALUE"""),564.41)</f>
        <v>564.41</v>
      </c>
      <c r="E357" s="21">
        <f>IFERROR(__xludf.DUMMYFUNCTION("""COMPUTED_VALUE"""),279.3099830142857)</f>
        <v>279.309983</v>
      </c>
      <c r="F357" s="21">
        <f>IFERROR(__xludf.DUMMYFUNCTION("""COMPUTED_VALUE"""),332.705625)</f>
        <v>332.705625</v>
      </c>
      <c r="G357" s="21">
        <f>IFERROR(__xludf.DUMMYFUNCTION("""COMPUTED_VALUE"""),469.32849364791286)</f>
        <v>469.3284936</v>
      </c>
    </row>
    <row r="358">
      <c r="A358" s="23">
        <f>IFERROR(__xludf.DUMMYFUNCTION("""COMPUTED_VALUE"""),44918.0)</f>
        <v>44918</v>
      </c>
      <c r="B358" s="21">
        <f>IFERROR(__xludf.DUMMYFUNCTION("""COMPUTED_VALUE"""),502.83)</f>
        <v>502.83</v>
      </c>
      <c r="C358" s="22">
        <f>IFERROR(__xludf.DUMMYFUNCTION("""COMPUTED_VALUE"""),379.655)</f>
        <v>379.655</v>
      </c>
      <c r="D358" s="22">
        <f>IFERROR(__xludf.DUMMYFUNCTION("""COMPUTED_VALUE"""),564.41)</f>
        <v>564.41</v>
      </c>
      <c r="E358" s="21">
        <f>IFERROR(__xludf.DUMMYFUNCTION("""COMPUTED_VALUE"""),253.9984095142857)</f>
        <v>253.9984095</v>
      </c>
      <c r="F358" s="21">
        <f>IFERROR(__xludf.DUMMYFUNCTION("""COMPUTED_VALUE"""),329.505)</f>
        <v>329.505</v>
      </c>
      <c r="G358" s="21">
        <f>IFERROR(__xludf.DUMMYFUNCTION("""COMPUTED_VALUE"""),469.32849364791286)</f>
        <v>469.3284936</v>
      </c>
    </row>
    <row r="359">
      <c r="A359" s="23">
        <f>IFERROR(__xludf.DUMMYFUNCTION("""COMPUTED_VALUE"""),44919.0)</f>
        <v>44919</v>
      </c>
      <c r="B359" s="21">
        <f>IFERROR(__xludf.DUMMYFUNCTION("""COMPUTED_VALUE"""),502.83)</f>
        <v>502.83</v>
      </c>
      <c r="C359" s="22">
        <f>IFERROR(__xludf.DUMMYFUNCTION("""COMPUTED_VALUE"""),379.655)</f>
        <v>379.655</v>
      </c>
      <c r="D359" s="22">
        <f>IFERROR(__xludf.DUMMYFUNCTION("""COMPUTED_VALUE"""),564.41)</f>
        <v>564.41</v>
      </c>
      <c r="E359" s="21">
        <f>IFERROR(__xludf.DUMMYFUNCTION("""COMPUTED_VALUE"""),234.69375702857138)</f>
        <v>234.693757</v>
      </c>
      <c r="F359" s="21">
        <f>IFERROR(__xludf.DUMMYFUNCTION("""COMPUTED_VALUE"""),329.505)</f>
        <v>329.505</v>
      </c>
      <c r="G359" s="21">
        <f>IFERROR(__xludf.DUMMYFUNCTION("""COMPUTED_VALUE"""),469.32849364791286)</f>
        <v>469.3284936</v>
      </c>
    </row>
    <row r="360">
      <c r="A360" s="23">
        <f>IFERROR(__xludf.DUMMYFUNCTION("""COMPUTED_VALUE"""),44920.0)</f>
        <v>44920</v>
      </c>
      <c r="B360" s="21">
        <f>IFERROR(__xludf.DUMMYFUNCTION("""COMPUTED_VALUE"""),502.83)</f>
        <v>502.83</v>
      </c>
      <c r="C360" s="22">
        <f>IFERROR(__xludf.DUMMYFUNCTION("""COMPUTED_VALUE"""),379.655)</f>
        <v>379.655</v>
      </c>
      <c r="D360" s="22">
        <f>IFERROR(__xludf.DUMMYFUNCTION("""COMPUTED_VALUE"""),564.41)</f>
        <v>564.41</v>
      </c>
      <c r="E360" s="21">
        <f>IFERROR(__xludf.DUMMYFUNCTION("""COMPUTED_VALUE"""),223.2662744)</f>
        <v>223.2662744</v>
      </c>
      <c r="F360" s="21">
        <f>IFERROR(__xludf.DUMMYFUNCTION("""COMPUTED_VALUE"""),329.50500000000005)</f>
        <v>329.505</v>
      </c>
      <c r="G360" s="21">
        <f>IFERROR(__xludf.DUMMYFUNCTION("""COMPUTED_VALUE"""),469.32849364791286)</f>
        <v>469.3284936</v>
      </c>
    </row>
    <row r="361">
      <c r="A361" s="23">
        <f>IFERROR(__xludf.DUMMYFUNCTION("""COMPUTED_VALUE"""),44921.0)</f>
        <v>44921</v>
      </c>
      <c r="B361" s="21">
        <f>IFERROR(__xludf.DUMMYFUNCTION("""COMPUTED_VALUE"""),502.83)</f>
        <v>502.83</v>
      </c>
      <c r="C361" s="22">
        <f>IFERROR(__xludf.DUMMYFUNCTION("""COMPUTED_VALUE"""),379.655)</f>
        <v>379.655</v>
      </c>
      <c r="D361" s="22">
        <f>IFERROR(__xludf.DUMMYFUNCTION("""COMPUTED_VALUE"""),564.41)</f>
        <v>564.41</v>
      </c>
      <c r="E361" s="21">
        <f>IFERROR(__xludf.DUMMYFUNCTION("""COMPUTED_VALUE"""),213.20428571428573)</f>
        <v>213.2042857</v>
      </c>
      <c r="F361" s="21">
        <f>IFERROR(__xludf.DUMMYFUNCTION("""COMPUTED_VALUE"""),329.50500000000005)</f>
        <v>329.505</v>
      </c>
      <c r="G361" s="21">
        <f>IFERROR(__xludf.DUMMYFUNCTION("""COMPUTED_VALUE"""),469.32849364791286)</f>
        <v>469.3284936</v>
      </c>
    </row>
    <row r="362">
      <c r="A362" s="23">
        <f>IFERROR(__xludf.DUMMYFUNCTION("""COMPUTED_VALUE"""),44922.0)</f>
        <v>44922</v>
      </c>
      <c r="B362" s="21">
        <f>IFERROR(__xludf.DUMMYFUNCTION("""COMPUTED_VALUE"""),502.83)</f>
        <v>502.83</v>
      </c>
      <c r="C362" s="22">
        <f>IFERROR(__xludf.DUMMYFUNCTION("""COMPUTED_VALUE"""),379.655)</f>
        <v>379.655</v>
      </c>
      <c r="D362" s="22">
        <f>IFERROR(__xludf.DUMMYFUNCTION("""COMPUTED_VALUE"""),564.41)</f>
        <v>564.41</v>
      </c>
      <c r="E362" s="21">
        <f>IFERROR(__xludf.DUMMYFUNCTION("""COMPUTED_VALUE"""),205.0814285714286)</f>
        <v>205.0814286</v>
      </c>
      <c r="F362" s="21">
        <f>IFERROR(__xludf.DUMMYFUNCTION("""COMPUTED_VALUE"""),320.09071428571434)</f>
        <v>320.0907143</v>
      </c>
      <c r="G362" s="21">
        <f>IFERROR(__xludf.DUMMYFUNCTION("""COMPUTED_VALUE"""),469.32849364791286)</f>
        <v>469.3284936</v>
      </c>
    </row>
    <row r="363">
      <c r="A363" s="23">
        <f>IFERROR(__xludf.DUMMYFUNCTION("""COMPUTED_VALUE"""),44923.0)</f>
        <v>44923</v>
      </c>
      <c r="B363" s="21">
        <f>IFERROR(__xludf.DUMMYFUNCTION("""COMPUTED_VALUE"""),502.83)</f>
        <v>502.83</v>
      </c>
      <c r="C363" s="22">
        <f>IFERROR(__xludf.DUMMYFUNCTION("""COMPUTED_VALUE"""),379.655)</f>
        <v>379.655</v>
      </c>
      <c r="D363" s="22">
        <f>IFERROR(__xludf.DUMMYFUNCTION("""COMPUTED_VALUE"""),564.41)</f>
        <v>564.41</v>
      </c>
      <c r="E363" s="21">
        <f>IFERROR(__xludf.DUMMYFUNCTION("""COMPUTED_VALUE"""),193.91857142857143)</f>
        <v>193.9185714</v>
      </c>
      <c r="F363" s="21">
        <f>IFERROR(__xludf.DUMMYFUNCTION("""COMPUTED_VALUE"""),310.6764285714286)</f>
        <v>310.6764286</v>
      </c>
      <c r="G363" s="21">
        <f>IFERROR(__xludf.DUMMYFUNCTION("""COMPUTED_VALUE"""),469.32849364791286)</f>
        <v>469.3284936</v>
      </c>
    </row>
    <row r="364">
      <c r="A364" s="23">
        <f>IFERROR(__xludf.DUMMYFUNCTION("""COMPUTED_VALUE"""),44924.0)</f>
        <v>44924</v>
      </c>
      <c r="B364" s="21">
        <f>IFERROR(__xludf.DUMMYFUNCTION("""COMPUTED_VALUE"""),502.83)</f>
        <v>502.83</v>
      </c>
      <c r="C364" s="22">
        <f>IFERROR(__xludf.DUMMYFUNCTION("""COMPUTED_VALUE"""),379.655)</f>
        <v>379.655</v>
      </c>
      <c r="D364" s="22">
        <f>IFERROR(__xludf.DUMMYFUNCTION("""COMPUTED_VALUE"""),564.41)</f>
        <v>564.41</v>
      </c>
      <c r="E364" s="21">
        <f>IFERROR(__xludf.DUMMYFUNCTION("""COMPUTED_VALUE"""),189.26857142857142)</f>
        <v>189.2685714</v>
      </c>
      <c r="F364" s="21">
        <f>IFERROR(__xludf.DUMMYFUNCTION("""COMPUTED_VALUE"""),301.26214285714286)</f>
        <v>301.2621429</v>
      </c>
      <c r="G364" s="21">
        <f>IFERROR(__xludf.DUMMYFUNCTION("""COMPUTED_VALUE"""),469.32849364791286)</f>
        <v>469.3284936</v>
      </c>
    </row>
    <row r="365">
      <c r="A365" s="23">
        <f>IFERROR(__xludf.DUMMYFUNCTION("""COMPUTED_VALUE"""),44925.0)</f>
        <v>44925</v>
      </c>
      <c r="B365" s="21">
        <f>IFERROR(__xludf.DUMMYFUNCTION("""COMPUTED_VALUE"""),502.83)</f>
        <v>502.83</v>
      </c>
      <c r="C365" s="22">
        <f>IFERROR(__xludf.DUMMYFUNCTION("""COMPUTED_VALUE"""),379.655)</f>
        <v>379.655</v>
      </c>
      <c r="D365" s="22">
        <f>IFERROR(__xludf.DUMMYFUNCTION("""COMPUTED_VALUE"""),564.41)</f>
        <v>564.41</v>
      </c>
      <c r="E365" s="21">
        <f>IFERROR(__xludf.DUMMYFUNCTION("""COMPUTED_VALUE"""),185.83694872857146)</f>
        <v>185.8369487</v>
      </c>
      <c r="F365" s="21">
        <f>IFERROR(__xludf.DUMMYFUNCTION("""COMPUTED_VALUE"""),291.84785714285715)</f>
        <v>291.8478571</v>
      </c>
      <c r="G365" s="21">
        <f>IFERROR(__xludf.DUMMYFUNCTION("""COMPUTED_VALUE"""),469.32849364791286)</f>
        <v>469.3284936</v>
      </c>
    </row>
    <row r="366">
      <c r="A366" s="23">
        <f>IFERROR(__xludf.DUMMYFUNCTION("""COMPUTED_VALUE"""),44926.0)</f>
        <v>44926</v>
      </c>
      <c r="B366" s="21">
        <f>IFERROR(__xludf.DUMMYFUNCTION("""COMPUTED_VALUE"""),502.83)</f>
        <v>502.83</v>
      </c>
      <c r="C366" s="22">
        <f>IFERROR(__xludf.DUMMYFUNCTION("""COMPUTED_VALUE"""),379.655)</f>
        <v>379.655</v>
      </c>
      <c r="D366" s="22">
        <f>IFERROR(__xludf.DUMMYFUNCTION("""COMPUTED_VALUE"""),564.41)</f>
        <v>564.41</v>
      </c>
      <c r="E366" s="21">
        <f>IFERROR(__xludf.DUMMYFUNCTION("""COMPUTED_VALUE"""),197.425308)</f>
        <v>197.425308</v>
      </c>
      <c r="F366" s="21">
        <f>IFERROR(__xludf.DUMMYFUNCTION("""COMPUTED_VALUE"""),282.43357142857144)</f>
        <v>282.4335714</v>
      </c>
      <c r="G366" s="21">
        <f>IFERROR(__xludf.DUMMYFUNCTION("""COMPUTED_VALUE"""),469.32849364791286)</f>
        <v>469.3284936</v>
      </c>
    </row>
    <row r="367">
      <c r="A367" s="23">
        <f>IFERROR(__xludf.DUMMYFUNCTION("""COMPUTED_VALUE"""),44927.0)</f>
        <v>44927</v>
      </c>
      <c r="B367" s="21">
        <f>IFERROR(__xludf.DUMMYFUNCTION("""COMPUTED_VALUE"""),527.3902)</f>
        <v>527.3902</v>
      </c>
      <c r="C367" s="22">
        <f>IFERROR(__xludf.DUMMYFUNCTION("""COMPUTED_VALUE"""),379.655172)</f>
        <v>379.655172</v>
      </c>
      <c r="D367" s="22">
        <f>IFERROR(__xludf.DUMMYFUNCTION("""COMPUTED_VALUE"""),564.410163)</f>
        <v>564.410163</v>
      </c>
      <c r="E367" s="21">
        <f>IFERROR(__xludf.DUMMYFUNCTION("""COMPUTED_VALUE"""),201.0962771)</f>
        <v>201.0962771</v>
      </c>
      <c r="F367" s="21">
        <f>IFERROR(__xludf.DUMMYFUNCTION("""COMPUTED_VALUE"""),273.01928571428573)</f>
        <v>273.0192857</v>
      </c>
      <c r="G367" s="21">
        <f>IFERROR(__xludf.DUMMYFUNCTION("""COMPUTED_VALUE"""),356.292)</f>
        <v>356.292</v>
      </c>
    </row>
    <row r="368">
      <c r="A368" s="20">
        <f>IFERROR(__xludf.DUMMYFUNCTION("""COMPUTED_VALUE"""),44928.0)</f>
        <v>44928</v>
      </c>
      <c r="B368" s="21">
        <f>IFERROR(__xludf.DUMMYFUNCTION("""COMPUTED_VALUE"""),527.3902)</f>
        <v>527.3902</v>
      </c>
      <c r="C368" s="22">
        <f>IFERROR(__xludf.DUMMYFUNCTION("""COMPUTED_VALUE"""),379.655172)</f>
        <v>379.655172</v>
      </c>
      <c r="D368" s="22">
        <f>IFERROR(__xludf.DUMMYFUNCTION("""COMPUTED_VALUE"""),564.410163)</f>
        <v>564.410163</v>
      </c>
      <c r="E368" s="21">
        <f>IFERROR(__xludf.DUMMYFUNCTION("""COMPUTED_VALUE"""),204.60488654285714)</f>
        <v>204.6048865</v>
      </c>
      <c r="F368" s="21">
        <f>IFERROR(__xludf.DUMMYFUNCTION("""COMPUTED_VALUE"""),263.9453571428572)</f>
        <v>263.9453571</v>
      </c>
      <c r="G368" s="21">
        <f>IFERROR(__xludf.DUMMYFUNCTION("""COMPUTED_VALUE"""),356.292)</f>
        <v>356.292</v>
      </c>
    </row>
    <row r="369">
      <c r="A369" s="20">
        <f>IFERROR(__xludf.DUMMYFUNCTION("""COMPUTED_VALUE"""),44929.0)</f>
        <v>44929</v>
      </c>
      <c r="B369" s="21">
        <f>IFERROR(__xludf.DUMMYFUNCTION("""COMPUTED_VALUE"""),527.3902)</f>
        <v>527.3902</v>
      </c>
      <c r="C369" s="22">
        <f>IFERROR(__xludf.DUMMYFUNCTION("""COMPUTED_VALUE"""),379.655172)</f>
        <v>379.655172</v>
      </c>
      <c r="D369" s="22">
        <f>IFERROR(__xludf.DUMMYFUNCTION("""COMPUTED_VALUE"""),564.410163)</f>
        <v>564.410163</v>
      </c>
      <c r="E369" s="21">
        <f>IFERROR(__xludf.DUMMYFUNCTION("""COMPUTED_VALUE"""),198.57227979999996)</f>
        <v>198.5722798</v>
      </c>
      <c r="F369" s="21">
        <f>IFERROR(__xludf.DUMMYFUNCTION("""COMPUTED_VALUE"""),264.2857142857143)</f>
        <v>264.2857143</v>
      </c>
      <c r="G369" s="21">
        <f>IFERROR(__xludf.DUMMYFUNCTION("""COMPUTED_VALUE"""),356.292)</f>
        <v>356.292</v>
      </c>
    </row>
    <row r="370">
      <c r="A370" s="20">
        <f>IFERROR(__xludf.DUMMYFUNCTION("""COMPUTED_VALUE"""),44930.0)</f>
        <v>44930</v>
      </c>
      <c r="B370" s="21">
        <f>IFERROR(__xludf.DUMMYFUNCTION("""COMPUTED_VALUE"""),527.3902)</f>
        <v>527.3902</v>
      </c>
      <c r="C370" s="22">
        <f>IFERROR(__xludf.DUMMYFUNCTION("""COMPUTED_VALUE"""),379.655172)</f>
        <v>379.655172</v>
      </c>
      <c r="D370" s="22">
        <f>IFERROR(__xludf.DUMMYFUNCTION("""COMPUTED_VALUE"""),564.410163)</f>
        <v>564.410163</v>
      </c>
      <c r="E370" s="21">
        <f>IFERROR(__xludf.DUMMYFUNCTION("""COMPUTED_VALUE"""),197.35354052857141)</f>
        <v>197.3535405</v>
      </c>
      <c r="F370" s="21">
        <f>IFERROR(__xludf.DUMMYFUNCTION("""COMPUTED_VALUE"""),264.62607142857144)</f>
        <v>264.6260714</v>
      </c>
      <c r="G370" s="21">
        <f>IFERROR(__xludf.DUMMYFUNCTION("""COMPUTED_VALUE"""),356.292)</f>
        <v>356.292</v>
      </c>
    </row>
    <row r="371">
      <c r="A371" s="20">
        <f>IFERROR(__xludf.DUMMYFUNCTION("""COMPUTED_VALUE"""),44931.0)</f>
        <v>44931</v>
      </c>
      <c r="B371" s="21">
        <f>IFERROR(__xludf.DUMMYFUNCTION("""COMPUTED_VALUE"""),527.3902)</f>
        <v>527.3902</v>
      </c>
      <c r="C371" s="22">
        <f>IFERROR(__xludf.DUMMYFUNCTION("""COMPUTED_VALUE"""),379.655172)</f>
        <v>379.655172</v>
      </c>
      <c r="D371" s="22">
        <f>IFERROR(__xludf.DUMMYFUNCTION("""COMPUTED_VALUE"""),564.410163)</f>
        <v>564.410163</v>
      </c>
      <c r="E371" s="21">
        <f>IFERROR(__xludf.DUMMYFUNCTION("""COMPUTED_VALUE"""),194.1932792285714)</f>
        <v>194.1932792</v>
      </c>
      <c r="F371" s="21">
        <f>IFERROR(__xludf.DUMMYFUNCTION("""COMPUTED_VALUE"""),264.96642857142854)</f>
        <v>264.9664286</v>
      </c>
      <c r="G371" s="21">
        <f>IFERROR(__xludf.DUMMYFUNCTION("""COMPUTED_VALUE"""),356.292)</f>
        <v>356.292</v>
      </c>
    </row>
    <row r="372">
      <c r="A372" s="20">
        <f>IFERROR(__xludf.DUMMYFUNCTION("""COMPUTED_VALUE"""),44932.0)</f>
        <v>44932</v>
      </c>
      <c r="B372" s="21">
        <f>IFERROR(__xludf.DUMMYFUNCTION("""COMPUTED_VALUE"""),527.3902)</f>
        <v>527.3902</v>
      </c>
      <c r="C372" s="22">
        <f>IFERROR(__xludf.DUMMYFUNCTION("""COMPUTED_VALUE"""),379.655172)</f>
        <v>379.655172</v>
      </c>
      <c r="D372" s="22">
        <f>IFERROR(__xludf.DUMMYFUNCTION("""COMPUTED_VALUE"""),564.410163)</f>
        <v>564.410163</v>
      </c>
      <c r="E372" s="21">
        <f>IFERROR(__xludf.DUMMYFUNCTION("""COMPUTED_VALUE"""),192.96701151428573)</f>
        <v>192.9670115</v>
      </c>
      <c r="F372" s="21">
        <f>IFERROR(__xludf.DUMMYFUNCTION("""COMPUTED_VALUE"""),265.3067857142857)</f>
        <v>265.3067857</v>
      </c>
      <c r="G372" s="21">
        <f>IFERROR(__xludf.DUMMYFUNCTION("""COMPUTED_VALUE"""),356.292)</f>
        <v>356.292</v>
      </c>
    </row>
    <row r="373">
      <c r="A373" s="20">
        <f>IFERROR(__xludf.DUMMYFUNCTION("""COMPUTED_VALUE"""),44933.0)</f>
        <v>44933</v>
      </c>
      <c r="B373" s="21">
        <f>IFERROR(__xludf.DUMMYFUNCTION("""COMPUTED_VALUE"""),527.3902)</f>
        <v>527.3902</v>
      </c>
      <c r="C373" s="22">
        <f>IFERROR(__xludf.DUMMYFUNCTION("""COMPUTED_VALUE"""),379.655172)</f>
        <v>379.655172</v>
      </c>
      <c r="D373" s="22">
        <f>IFERROR(__xludf.DUMMYFUNCTION("""COMPUTED_VALUE"""),564.410163)</f>
        <v>564.410163</v>
      </c>
      <c r="E373" s="21">
        <f>IFERROR(__xludf.DUMMYFUNCTION("""COMPUTED_VALUE"""),188.13036359999998)</f>
        <v>188.1303636</v>
      </c>
      <c r="F373" s="21">
        <f>IFERROR(__xludf.DUMMYFUNCTION("""COMPUTED_VALUE"""),265.6471428571428)</f>
        <v>265.6471429</v>
      </c>
      <c r="G373" s="21">
        <f>IFERROR(__xludf.DUMMYFUNCTION("""COMPUTED_VALUE"""),356.292)</f>
        <v>356.292</v>
      </c>
    </row>
    <row r="374">
      <c r="A374" s="20">
        <f>IFERROR(__xludf.DUMMYFUNCTION("""COMPUTED_VALUE"""),44934.0)</f>
        <v>44934</v>
      </c>
      <c r="B374" s="21">
        <f>IFERROR(__xludf.DUMMYFUNCTION("""COMPUTED_VALUE"""),527.3902)</f>
        <v>527.3902</v>
      </c>
      <c r="C374" s="22">
        <f>IFERROR(__xludf.DUMMYFUNCTION("""COMPUTED_VALUE"""),379.655172)</f>
        <v>379.655172</v>
      </c>
      <c r="D374" s="22">
        <f>IFERROR(__xludf.DUMMYFUNCTION("""COMPUTED_VALUE"""),564.410163)</f>
        <v>564.410163</v>
      </c>
      <c r="E374" s="21">
        <f>IFERROR(__xludf.DUMMYFUNCTION("""COMPUTED_VALUE"""),183.94749087142856)</f>
        <v>183.9474909</v>
      </c>
      <c r="F374" s="21">
        <f>IFERROR(__xludf.DUMMYFUNCTION("""COMPUTED_VALUE"""),265.9875)</f>
        <v>265.9875</v>
      </c>
      <c r="G374" s="21">
        <f>IFERROR(__xludf.DUMMYFUNCTION("""COMPUTED_VALUE"""),356.292)</f>
        <v>356.292</v>
      </c>
    </row>
    <row r="375">
      <c r="A375" s="20">
        <f>IFERROR(__xludf.DUMMYFUNCTION("""COMPUTED_VALUE"""),44935.0)</f>
        <v>44935</v>
      </c>
      <c r="B375" s="21">
        <f>IFERROR(__xludf.DUMMYFUNCTION("""COMPUTED_VALUE"""),527.3902)</f>
        <v>527.3902</v>
      </c>
      <c r="C375" s="22">
        <f>IFERROR(__xludf.DUMMYFUNCTION("""COMPUTED_VALUE"""),379.655172)</f>
        <v>379.655172</v>
      </c>
      <c r="D375" s="22">
        <f>IFERROR(__xludf.DUMMYFUNCTION("""COMPUTED_VALUE"""),564.410163)</f>
        <v>564.410163</v>
      </c>
      <c r="E375" s="21">
        <f>IFERROR(__xludf.DUMMYFUNCTION("""COMPUTED_VALUE"""),178.0705003142857)</f>
        <v>178.0705003</v>
      </c>
      <c r="F375" s="21">
        <f>IFERROR(__xludf.DUMMYFUNCTION("""COMPUTED_VALUE"""),258.65635714285713)</f>
        <v>258.6563571</v>
      </c>
      <c r="G375" s="21">
        <f>IFERROR(__xludf.DUMMYFUNCTION("""COMPUTED_VALUE"""),356.292)</f>
        <v>356.292</v>
      </c>
    </row>
    <row r="376">
      <c r="A376" s="20">
        <f>IFERROR(__xludf.DUMMYFUNCTION("""COMPUTED_VALUE"""),44936.0)</f>
        <v>44936</v>
      </c>
      <c r="B376" s="21">
        <f>IFERROR(__xludf.DUMMYFUNCTION("""COMPUTED_VALUE"""),527.3902)</f>
        <v>527.3902</v>
      </c>
      <c r="C376" s="22">
        <f>IFERROR(__xludf.DUMMYFUNCTION("""COMPUTED_VALUE"""),379.655172)</f>
        <v>379.655172</v>
      </c>
      <c r="D376" s="22">
        <f>IFERROR(__xludf.DUMMYFUNCTION("""COMPUTED_VALUE"""),564.410163)</f>
        <v>564.410163</v>
      </c>
      <c r="E376" s="21">
        <f>IFERROR(__xludf.DUMMYFUNCTION("""COMPUTED_VALUE"""),176.27115867142857)</f>
        <v>176.2711587</v>
      </c>
      <c r="F376" s="21">
        <f>IFERROR(__xludf.DUMMYFUNCTION("""COMPUTED_VALUE"""),251.32521428571428)</f>
        <v>251.3252143</v>
      </c>
      <c r="G376" s="21">
        <f>IFERROR(__xludf.DUMMYFUNCTION("""COMPUTED_VALUE"""),356.292)</f>
        <v>356.292</v>
      </c>
    </row>
    <row r="377">
      <c r="A377" s="20">
        <f>IFERROR(__xludf.DUMMYFUNCTION("""COMPUTED_VALUE"""),44937.0)</f>
        <v>44937</v>
      </c>
      <c r="B377" s="21">
        <f>IFERROR(__xludf.DUMMYFUNCTION("""COMPUTED_VALUE"""),527.3902)</f>
        <v>527.3902</v>
      </c>
      <c r="C377" s="22">
        <f>IFERROR(__xludf.DUMMYFUNCTION("""COMPUTED_VALUE"""),379.655172)</f>
        <v>379.655172</v>
      </c>
      <c r="D377" s="22">
        <f>IFERROR(__xludf.DUMMYFUNCTION("""COMPUTED_VALUE"""),564.410163)</f>
        <v>564.410163</v>
      </c>
      <c r="E377" s="21">
        <f>IFERROR(__xludf.DUMMYFUNCTION("""COMPUTED_VALUE"""),177.69268699999998)</f>
        <v>177.692687</v>
      </c>
      <c r="F377" s="21">
        <f>IFERROR(__xludf.DUMMYFUNCTION("""COMPUTED_VALUE"""),243.99407142857143)</f>
        <v>243.9940714</v>
      </c>
      <c r="G377" s="21">
        <f>IFERROR(__xludf.DUMMYFUNCTION("""COMPUTED_VALUE"""),356.292)</f>
        <v>356.292</v>
      </c>
    </row>
    <row r="378">
      <c r="A378" s="20">
        <f>IFERROR(__xludf.DUMMYFUNCTION("""COMPUTED_VALUE"""),44938.0)</f>
        <v>44938</v>
      </c>
      <c r="B378" s="21">
        <f>IFERROR(__xludf.DUMMYFUNCTION("""COMPUTED_VALUE"""),527.3902)</f>
        <v>527.3902</v>
      </c>
      <c r="C378" s="22">
        <f>IFERROR(__xludf.DUMMYFUNCTION("""COMPUTED_VALUE"""),379.655172)</f>
        <v>379.655172</v>
      </c>
      <c r="D378" s="22">
        <f>IFERROR(__xludf.DUMMYFUNCTION("""COMPUTED_VALUE"""),564.410163)</f>
        <v>564.410163</v>
      </c>
      <c r="E378" s="21">
        <f>IFERROR(__xludf.DUMMYFUNCTION("""COMPUTED_VALUE"""),176.76722865714285)</f>
        <v>176.7672287</v>
      </c>
      <c r="F378" s="21">
        <f>IFERROR(__xludf.DUMMYFUNCTION("""COMPUTED_VALUE"""),236.66292857142858)</f>
        <v>236.6629286</v>
      </c>
      <c r="G378" s="21">
        <f>IFERROR(__xludf.DUMMYFUNCTION("""COMPUTED_VALUE"""),356.292)</f>
        <v>356.292</v>
      </c>
    </row>
    <row r="379">
      <c r="A379" s="20">
        <f>IFERROR(__xludf.DUMMYFUNCTION("""COMPUTED_VALUE"""),44939.0)</f>
        <v>44939</v>
      </c>
      <c r="B379" s="21">
        <f>IFERROR(__xludf.DUMMYFUNCTION("""COMPUTED_VALUE"""),527.3902)</f>
        <v>527.3902</v>
      </c>
      <c r="C379" s="22">
        <f>IFERROR(__xludf.DUMMYFUNCTION("""COMPUTED_VALUE"""),379.655172)</f>
        <v>379.655172</v>
      </c>
      <c r="D379" s="22">
        <f>IFERROR(__xludf.DUMMYFUNCTION("""COMPUTED_VALUE"""),564.410163)</f>
        <v>564.410163</v>
      </c>
      <c r="E379" s="21">
        <f>IFERROR(__xludf.DUMMYFUNCTION("""COMPUTED_VALUE"""),180.00399485714283)</f>
        <v>180.0039949</v>
      </c>
      <c r="F379" s="21">
        <f>IFERROR(__xludf.DUMMYFUNCTION("""COMPUTED_VALUE"""),229.3317857142857)</f>
        <v>229.3317857</v>
      </c>
      <c r="G379" s="21">
        <f>IFERROR(__xludf.DUMMYFUNCTION("""COMPUTED_VALUE"""),356.292)</f>
        <v>356.292</v>
      </c>
    </row>
    <row r="380">
      <c r="A380" s="23">
        <f>IFERROR(__xludf.DUMMYFUNCTION("""COMPUTED_VALUE"""),44940.0)</f>
        <v>44940</v>
      </c>
      <c r="B380" s="21">
        <f>IFERROR(__xludf.DUMMYFUNCTION("""COMPUTED_VALUE"""),527.3902)</f>
        <v>527.3902</v>
      </c>
      <c r="C380" s="22">
        <f>IFERROR(__xludf.DUMMYFUNCTION("""COMPUTED_VALUE"""),379.655172)</f>
        <v>379.655172</v>
      </c>
      <c r="D380" s="22">
        <f>IFERROR(__xludf.DUMMYFUNCTION("""COMPUTED_VALUE"""),564.410163)</f>
        <v>564.410163</v>
      </c>
      <c r="E380" s="21">
        <f>IFERROR(__xludf.DUMMYFUNCTION("""COMPUTED_VALUE"""),175.25878637142856)</f>
        <v>175.2587864</v>
      </c>
      <c r="F380" s="21">
        <f>IFERROR(__xludf.DUMMYFUNCTION("""COMPUTED_VALUE"""),222.00064285714285)</f>
        <v>222.0006429</v>
      </c>
      <c r="G380" s="21">
        <f>IFERROR(__xludf.DUMMYFUNCTION("""COMPUTED_VALUE"""),356.292)</f>
        <v>356.292</v>
      </c>
    </row>
    <row r="381">
      <c r="A381" s="23">
        <f>IFERROR(__xludf.DUMMYFUNCTION("""COMPUTED_VALUE"""),44941.0)</f>
        <v>44941</v>
      </c>
      <c r="B381" s="21">
        <f>IFERROR(__xludf.DUMMYFUNCTION("""COMPUTED_VALUE"""),527.3902)</f>
        <v>527.3902</v>
      </c>
      <c r="C381" s="22">
        <f>IFERROR(__xludf.DUMMYFUNCTION("""COMPUTED_VALUE"""),379.655172)</f>
        <v>379.655172</v>
      </c>
      <c r="D381" s="22">
        <f>IFERROR(__xludf.DUMMYFUNCTION("""COMPUTED_VALUE"""),564.410163)</f>
        <v>564.410163</v>
      </c>
      <c r="E381" s="21">
        <f>IFERROR(__xludf.DUMMYFUNCTION("""COMPUTED_VALUE"""),172.57823549999998)</f>
        <v>172.5782355</v>
      </c>
      <c r="F381" s="21">
        <f>IFERROR(__xludf.DUMMYFUNCTION("""COMPUTED_VALUE"""),214.6695)</f>
        <v>214.6695</v>
      </c>
      <c r="G381" s="21">
        <f>IFERROR(__xludf.DUMMYFUNCTION("""COMPUTED_VALUE"""),356.292)</f>
        <v>356.292</v>
      </c>
    </row>
    <row r="382">
      <c r="A382" s="23">
        <f>IFERROR(__xludf.DUMMYFUNCTION("""COMPUTED_VALUE"""),44942.0)</f>
        <v>44942</v>
      </c>
      <c r="B382" s="21">
        <f>IFERROR(__xludf.DUMMYFUNCTION("""COMPUTED_VALUE"""),505.79310300000003)</f>
        <v>505.793103</v>
      </c>
      <c r="C382" s="22">
        <f>IFERROR(__xludf.DUMMYFUNCTION("""COMPUTED_VALUE"""),280.39)</f>
        <v>280.39</v>
      </c>
      <c r="D382" s="22">
        <f>IFERROR(__xludf.DUMMYFUNCTION("""COMPUTED_VALUE"""),564.410163)</f>
        <v>564.410163</v>
      </c>
      <c r="E382" s="21">
        <f>IFERROR(__xludf.DUMMYFUNCTION("""COMPUTED_VALUE"""),172.37699148571429)</f>
        <v>172.3769915</v>
      </c>
      <c r="F382" s="21">
        <f>IFERROR(__xludf.DUMMYFUNCTION("""COMPUTED_VALUE"""),212.91028571428572)</f>
        <v>212.9102857</v>
      </c>
      <c r="G382" s="21">
        <f>IFERROR(__xludf.DUMMYFUNCTION("""COMPUTED_VALUE"""),356.292)</f>
        <v>356.292</v>
      </c>
    </row>
    <row r="383">
      <c r="A383" s="23">
        <f>IFERROR(__xludf.DUMMYFUNCTION("""COMPUTED_VALUE"""),44943.0)</f>
        <v>44943</v>
      </c>
      <c r="B383" s="21">
        <f>IFERROR(__xludf.DUMMYFUNCTION("""COMPUTED_VALUE"""),505.79310300000003)</f>
        <v>505.793103</v>
      </c>
      <c r="C383" s="22">
        <f>IFERROR(__xludf.DUMMYFUNCTION("""COMPUTED_VALUE"""),280.39)</f>
        <v>280.39</v>
      </c>
      <c r="D383" s="22">
        <f>IFERROR(__xludf.DUMMYFUNCTION("""COMPUTED_VALUE"""),564.410163)</f>
        <v>564.410163</v>
      </c>
      <c r="E383" s="21">
        <f>IFERROR(__xludf.DUMMYFUNCTION("""COMPUTED_VALUE"""),173.5587508857143)</f>
        <v>173.5587509</v>
      </c>
      <c r="F383" s="21">
        <f>IFERROR(__xludf.DUMMYFUNCTION("""COMPUTED_VALUE"""),211.15107142857144)</f>
        <v>211.1510714</v>
      </c>
      <c r="G383" s="21">
        <f>IFERROR(__xludf.DUMMYFUNCTION("""COMPUTED_VALUE"""),356.292)</f>
        <v>356.292</v>
      </c>
    </row>
    <row r="384">
      <c r="A384" s="23">
        <f>IFERROR(__xludf.DUMMYFUNCTION("""COMPUTED_VALUE"""),44944.0)</f>
        <v>44944</v>
      </c>
      <c r="B384" s="21">
        <f>IFERROR(__xludf.DUMMYFUNCTION("""COMPUTED_VALUE"""),505.79310300000003)</f>
        <v>505.793103</v>
      </c>
      <c r="C384" s="22">
        <f>IFERROR(__xludf.DUMMYFUNCTION("""COMPUTED_VALUE"""),280.39)</f>
        <v>280.39</v>
      </c>
      <c r="D384" s="22">
        <f>IFERROR(__xludf.DUMMYFUNCTION("""COMPUTED_VALUE"""),564.410163)</f>
        <v>564.410163</v>
      </c>
      <c r="E384" s="21">
        <f>IFERROR(__xludf.DUMMYFUNCTION("""COMPUTED_VALUE"""),168.91453325714286)</f>
        <v>168.9145333</v>
      </c>
      <c r="F384" s="21">
        <f>IFERROR(__xludf.DUMMYFUNCTION("""COMPUTED_VALUE"""),209.39185714285713)</f>
        <v>209.3918571</v>
      </c>
      <c r="G384" s="21">
        <f>IFERROR(__xludf.DUMMYFUNCTION("""COMPUTED_VALUE"""),356.292)</f>
        <v>356.292</v>
      </c>
    </row>
    <row r="385">
      <c r="A385" s="23">
        <f>IFERROR(__xludf.DUMMYFUNCTION("""COMPUTED_VALUE"""),44945.0)</f>
        <v>44945</v>
      </c>
      <c r="B385" s="21">
        <f>IFERROR(__xludf.DUMMYFUNCTION("""COMPUTED_VALUE"""),505.79310300000003)</f>
        <v>505.793103</v>
      </c>
      <c r="C385" s="22">
        <f>IFERROR(__xludf.DUMMYFUNCTION("""COMPUTED_VALUE"""),280.39)</f>
        <v>280.39</v>
      </c>
      <c r="D385" s="22">
        <f>IFERROR(__xludf.DUMMYFUNCTION("""COMPUTED_VALUE"""),564.410163)</f>
        <v>564.410163</v>
      </c>
      <c r="E385" s="21">
        <f>IFERROR(__xludf.DUMMYFUNCTION("""COMPUTED_VALUE"""),169.0345386142857)</f>
        <v>169.0345386</v>
      </c>
      <c r="F385" s="21">
        <f>IFERROR(__xludf.DUMMYFUNCTION("""COMPUTED_VALUE"""),207.63264285714286)</f>
        <v>207.6326429</v>
      </c>
      <c r="G385" s="21">
        <f>IFERROR(__xludf.DUMMYFUNCTION("""COMPUTED_VALUE"""),356.292)</f>
        <v>356.292</v>
      </c>
    </row>
    <row r="386">
      <c r="A386" s="23">
        <f>IFERROR(__xludf.DUMMYFUNCTION("""COMPUTED_VALUE"""),44946.0)</f>
        <v>44946</v>
      </c>
      <c r="B386" s="21">
        <f>IFERROR(__xludf.DUMMYFUNCTION("""COMPUTED_VALUE"""),505.79310300000003)</f>
        <v>505.793103</v>
      </c>
      <c r="C386" s="22">
        <f>IFERROR(__xludf.DUMMYFUNCTION("""COMPUTED_VALUE"""),280.39)</f>
        <v>280.39</v>
      </c>
      <c r="D386" s="22">
        <f>IFERROR(__xludf.DUMMYFUNCTION("""COMPUTED_VALUE"""),564.410163)</f>
        <v>564.410163</v>
      </c>
      <c r="E386" s="21">
        <f>IFERROR(__xludf.DUMMYFUNCTION("""COMPUTED_VALUE"""),167.56517597142854)</f>
        <v>167.565176</v>
      </c>
      <c r="F386" s="21">
        <f>IFERROR(__xludf.DUMMYFUNCTION("""COMPUTED_VALUE"""),205.87342857142858)</f>
        <v>205.8734286</v>
      </c>
      <c r="G386" s="21">
        <f>IFERROR(__xludf.DUMMYFUNCTION("""COMPUTED_VALUE"""),356.292)</f>
        <v>356.292</v>
      </c>
    </row>
    <row r="387">
      <c r="A387" s="23">
        <f>IFERROR(__xludf.DUMMYFUNCTION("""COMPUTED_VALUE"""),44947.0)</f>
        <v>44947</v>
      </c>
      <c r="B387" s="21">
        <f>IFERROR(__xludf.DUMMYFUNCTION("""COMPUTED_VALUE"""),505.79310300000003)</f>
        <v>505.793103</v>
      </c>
      <c r="C387" s="22">
        <f>IFERROR(__xludf.DUMMYFUNCTION("""COMPUTED_VALUE"""),280.39)</f>
        <v>280.39</v>
      </c>
      <c r="D387" s="22">
        <f>IFERROR(__xludf.DUMMYFUNCTION("""COMPUTED_VALUE"""),564.410163)</f>
        <v>564.410163</v>
      </c>
      <c r="E387" s="21">
        <f>IFERROR(__xludf.DUMMYFUNCTION("""COMPUTED_VALUE"""),166.70888034285716)</f>
        <v>166.7088803</v>
      </c>
      <c r="F387" s="21">
        <f>IFERROR(__xludf.DUMMYFUNCTION("""COMPUTED_VALUE"""),204.1142142857143)</f>
        <v>204.1142143</v>
      </c>
      <c r="G387" s="21">
        <f>IFERROR(__xludf.DUMMYFUNCTION("""COMPUTED_VALUE"""),356.292)</f>
        <v>356.292</v>
      </c>
    </row>
    <row r="388">
      <c r="A388" s="23">
        <f>IFERROR(__xludf.DUMMYFUNCTION("""COMPUTED_VALUE"""),44948.0)</f>
        <v>44948</v>
      </c>
      <c r="B388" s="21">
        <f>IFERROR(__xludf.DUMMYFUNCTION("""COMPUTED_VALUE"""),505.79310300000003)</f>
        <v>505.793103</v>
      </c>
      <c r="C388" s="22">
        <f>IFERROR(__xludf.DUMMYFUNCTION("""COMPUTED_VALUE"""),280.39)</f>
        <v>280.39</v>
      </c>
      <c r="D388" s="22">
        <f>IFERROR(__xludf.DUMMYFUNCTION("""COMPUTED_VALUE"""),564.410163)</f>
        <v>564.410163</v>
      </c>
      <c r="E388" s="21">
        <f>IFERROR(__xludf.DUMMYFUNCTION("""COMPUTED_VALUE"""),172.65928261428573)</f>
        <v>172.6592826</v>
      </c>
      <c r="F388" s="21">
        <f>IFERROR(__xludf.DUMMYFUNCTION("""COMPUTED_VALUE"""),202.355)</f>
        <v>202.355</v>
      </c>
      <c r="G388" s="21">
        <f>IFERROR(__xludf.DUMMYFUNCTION("""COMPUTED_VALUE"""),356.292)</f>
        <v>356.292</v>
      </c>
    </row>
    <row r="389">
      <c r="A389" s="23">
        <f>IFERROR(__xludf.DUMMYFUNCTION("""COMPUTED_VALUE"""),44949.0)</f>
        <v>44949</v>
      </c>
      <c r="B389" s="21">
        <f>IFERROR(__xludf.DUMMYFUNCTION("""COMPUTED_VALUE"""),458.6)</f>
        <v>458.6</v>
      </c>
      <c r="C389" s="22">
        <f>IFERROR(__xludf.DUMMYFUNCTION("""COMPUTED_VALUE"""),280.39)</f>
        <v>280.39</v>
      </c>
      <c r="D389" s="22">
        <f>IFERROR(__xludf.DUMMYFUNCTION("""COMPUTED_VALUE"""),505.42)</f>
        <v>505.42</v>
      </c>
      <c r="E389" s="21">
        <f>IFERROR(__xludf.DUMMYFUNCTION("""COMPUTED_VALUE"""),179.56254200000004)</f>
        <v>179.562542</v>
      </c>
      <c r="F389" s="21">
        <f>IFERROR(__xludf.DUMMYFUNCTION("""COMPUTED_VALUE"""),201.96749999999997)</f>
        <v>201.9675</v>
      </c>
      <c r="G389" s="21">
        <f>IFERROR(__xludf.DUMMYFUNCTION("""COMPUTED_VALUE"""),356.292)</f>
        <v>356.292</v>
      </c>
    </row>
    <row r="390">
      <c r="A390" s="23">
        <f>IFERROR(__xludf.DUMMYFUNCTION("""COMPUTED_VALUE"""),44950.0)</f>
        <v>44950</v>
      </c>
      <c r="B390" s="21">
        <f>IFERROR(__xludf.DUMMYFUNCTION("""COMPUTED_VALUE"""),458.6)</f>
        <v>458.6</v>
      </c>
      <c r="C390" s="22">
        <f>IFERROR(__xludf.DUMMYFUNCTION("""COMPUTED_VALUE"""),280.39)</f>
        <v>280.39</v>
      </c>
      <c r="D390" s="22">
        <f>IFERROR(__xludf.DUMMYFUNCTION("""COMPUTED_VALUE"""),505.42)</f>
        <v>505.42</v>
      </c>
      <c r="E390" s="21">
        <f>IFERROR(__xludf.DUMMYFUNCTION("""COMPUTED_VALUE"""),184.1718333857143)</f>
        <v>184.1718334</v>
      </c>
      <c r="F390" s="21">
        <f>IFERROR(__xludf.DUMMYFUNCTION("""COMPUTED_VALUE"""),201.57999999999998)</f>
        <v>201.58</v>
      </c>
      <c r="G390" s="21">
        <f>IFERROR(__xludf.DUMMYFUNCTION("""COMPUTED_VALUE"""),356.292)</f>
        <v>356.292</v>
      </c>
    </row>
    <row r="391">
      <c r="A391" s="23">
        <f>IFERROR(__xludf.DUMMYFUNCTION("""COMPUTED_VALUE"""),44951.0)</f>
        <v>44951</v>
      </c>
      <c r="B391" s="21">
        <f>IFERROR(__xludf.DUMMYFUNCTION("""COMPUTED_VALUE"""),458.6)</f>
        <v>458.6</v>
      </c>
      <c r="C391" s="22">
        <f>IFERROR(__xludf.DUMMYFUNCTION("""COMPUTED_VALUE"""),280.39)</f>
        <v>280.39</v>
      </c>
      <c r="D391" s="22">
        <f>IFERROR(__xludf.DUMMYFUNCTION("""COMPUTED_VALUE"""),505.42)</f>
        <v>505.42</v>
      </c>
      <c r="E391" s="21">
        <f>IFERROR(__xludf.DUMMYFUNCTION("""COMPUTED_VALUE"""),189.4875308)</f>
        <v>189.4875308</v>
      </c>
      <c r="F391" s="21">
        <f>IFERROR(__xludf.DUMMYFUNCTION("""COMPUTED_VALUE"""),201.18642857142854)</f>
        <v>201.1864286</v>
      </c>
      <c r="G391" s="21">
        <f>IFERROR(__xludf.DUMMYFUNCTION("""COMPUTED_VALUE"""),356.292)</f>
        <v>356.292</v>
      </c>
    </row>
    <row r="392">
      <c r="A392" s="23">
        <f>IFERROR(__xludf.DUMMYFUNCTION("""COMPUTED_VALUE"""),44952.0)</f>
        <v>44952</v>
      </c>
      <c r="B392" s="21">
        <f>IFERROR(__xludf.DUMMYFUNCTION("""COMPUTED_VALUE"""),458.6)</f>
        <v>458.6</v>
      </c>
      <c r="C392" s="22">
        <f>IFERROR(__xludf.DUMMYFUNCTION("""COMPUTED_VALUE"""),280.39)</f>
        <v>280.39</v>
      </c>
      <c r="D392" s="22">
        <f>IFERROR(__xludf.DUMMYFUNCTION("""COMPUTED_VALUE"""),505.42)</f>
        <v>505.42</v>
      </c>
      <c r="E392" s="21">
        <f>IFERROR(__xludf.DUMMYFUNCTION("""COMPUTED_VALUE"""),188.6405024)</f>
        <v>188.6405024</v>
      </c>
      <c r="F392" s="21">
        <f>IFERROR(__xludf.DUMMYFUNCTION("""COMPUTED_VALUE"""),200.79285714285714)</f>
        <v>200.7928571</v>
      </c>
      <c r="G392" s="21">
        <f>IFERROR(__xludf.DUMMYFUNCTION("""COMPUTED_VALUE"""),356.292)</f>
        <v>356.292</v>
      </c>
    </row>
    <row r="393">
      <c r="A393" s="23">
        <f>IFERROR(__xludf.DUMMYFUNCTION("""COMPUTED_VALUE"""),44953.0)</f>
        <v>44953</v>
      </c>
      <c r="B393" s="21">
        <f>IFERROR(__xludf.DUMMYFUNCTION("""COMPUTED_VALUE"""),458.6)</f>
        <v>458.6</v>
      </c>
      <c r="C393" s="22">
        <f>IFERROR(__xludf.DUMMYFUNCTION("""COMPUTED_VALUE"""),280.39)</f>
        <v>280.39</v>
      </c>
      <c r="D393" s="22">
        <f>IFERROR(__xludf.DUMMYFUNCTION("""COMPUTED_VALUE"""),505.42)</f>
        <v>505.42</v>
      </c>
      <c r="E393" s="21">
        <f>IFERROR(__xludf.DUMMYFUNCTION("""COMPUTED_VALUE"""),186.68527497142856)</f>
        <v>186.685275</v>
      </c>
      <c r="F393" s="21">
        <f>IFERROR(__xludf.DUMMYFUNCTION("""COMPUTED_VALUE"""),200.3992857142857)</f>
        <v>200.3992857</v>
      </c>
      <c r="G393" s="21">
        <f>IFERROR(__xludf.DUMMYFUNCTION("""COMPUTED_VALUE"""),356.292)</f>
        <v>356.292</v>
      </c>
    </row>
    <row r="394">
      <c r="A394" s="23">
        <f>IFERROR(__xludf.DUMMYFUNCTION("""COMPUTED_VALUE"""),44954.0)</f>
        <v>44954</v>
      </c>
      <c r="B394" s="21">
        <f>IFERROR(__xludf.DUMMYFUNCTION("""COMPUTED_VALUE"""),458.6)</f>
        <v>458.6</v>
      </c>
      <c r="C394" s="22">
        <f>IFERROR(__xludf.DUMMYFUNCTION("""COMPUTED_VALUE"""),280.39)</f>
        <v>280.39</v>
      </c>
      <c r="D394" s="22">
        <f>IFERROR(__xludf.DUMMYFUNCTION("""COMPUTED_VALUE"""),505.42)</f>
        <v>505.42</v>
      </c>
      <c r="E394" s="21">
        <f>IFERROR(__xludf.DUMMYFUNCTION("""COMPUTED_VALUE"""),187.96363915714284)</f>
        <v>187.9636392</v>
      </c>
      <c r="F394" s="21">
        <f>IFERROR(__xludf.DUMMYFUNCTION("""COMPUTED_VALUE"""),200.00571428571428)</f>
        <v>200.0057143</v>
      </c>
      <c r="G394" s="21">
        <f>IFERROR(__xludf.DUMMYFUNCTION("""COMPUTED_VALUE"""),356.292)</f>
        <v>356.292</v>
      </c>
    </row>
    <row r="395">
      <c r="A395" s="23">
        <f>IFERROR(__xludf.DUMMYFUNCTION("""COMPUTED_VALUE"""),44955.0)</f>
        <v>44955</v>
      </c>
      <c r="B395" s="21">
        <f>IFERROR(__xludf.DUMMYFUNCTION("""COMPUTED_VALUE"""),458.6)</f>
        <v>458.6</v>
      </c>
      <c r="C395" s="22">
        <f>IFERROR(__xludf.DUMMYFUNCTION("""COMPUTED_VALUE"""),280.39)</f>
        <v>280.39</v>
      </c>
      <c r="D395" s="22">
        <f>IFERROR(__xludf.DUMMYFUNCTION("""COMPUTED_VALUE"""),505.42)</f>
        <v>505.42</v>
      </c>
      <c r="E395" s="21">
        <f>IFERROR(__xludf.DUMMYFUNCTION("""COMPUTED_VALUE"""),183.63283424285717)</f>
        <v>183.6328342</v>
      </c>
      <c r="F395" s="21">
        <f>IFERROR(__xludf.DUMMYFUNCTION("""COMPUTED_VALUE"""),199.61214285714283)</f>
        <v>199.6121429</v>
      </c>
      <c r="G395" s="21">
        <f>IFERROR(__xludf.DUMMYFUNCTION("""COMPUTED_VALUE"""),356.29)</f>
        <v>356.29</v>
      </c>
    </row>
    <row r="396">
      <c r="A396" s="23">
        <f>IFERROR(__xludf.DUMMYFUNCTION("""COMPUTED_VALUE"""),44956.0)</f>
        <v>44956</v>
      </c>
      <c r="B396" s="21">
        <f>IFERROR(__xludf.DUMMYFUNCTION("""COMPUTED_VALUE"""),357.21)</f>
        <v>357.21</v>
      </c>
      <c r="C396" s="22">
        <f>IFERROR(__xludf.DUMMYFUNCTION("""COMPUTED_VALUE"""),260.43)</f>
        <v>260.43</v>
      </c>
      <c r="D396" s="22">
        <f>IFERROR(__xludf.DUMMYFUNCTION("""COMPUTED_VALUE"""),405.6)</f>
        <v>405.6</v>
      </c>
      <c r="E396" s="21">
        <f>IFERROR(__xludf.DUMMYFUNCTION("""COMPUTED_VALUE"""),179.7634857)</f>
        <v>179.7634857</v>
      </c>
      <c r="F396" s="21">
        <f>IFERROR(__xludf.DUMMYFUNCTION("""COMPUTED_VALUE"""),196.76321428571427)</f>
        <v>196.7632143</v>
      </c>
      <c r="G396" s="21">
        <f>IFERROR(__xludf.DUMMYFUNCTION("""COMPUTED_VALUE"""),356.29)</f>
        <v>356.29</v>
      </c>
    </row>
    <row r="397">
      <c r="A397" s="23">
        <f>IFERROR(__xludf.DUMMYFUNCTION("""COMPUTED_VALUE"""),44957.0)</f>
        <v>44957</v>
      </c>
      <c r="B397" s="21">
        <f>IFERROR(__xludf.DUMMYFUNCTION("""COMPUTED_VALUE"""),357.21)</f>
        <v>357.21</v>
      </c>
      <c r="C397" s="22">
        <f>IFERROR(__xludf.DUMMYFUNCTION("""COMPUTED_VALUE"""),260.43)</f>
        <v>260.43</v>
      </c>
      <c r="D397" s="22">
        <f>IFERROR(__xludf.DUMMYFUNCTION("""COMPUTED_VALUE"""),405.6)</f>
        <v>405.6</v>
      </c>
      <c r="E397" s="21">
        <f>IFERROR(__xludf.DUMMYFUNCTION("""COMPUTED_VALUE"""),173.6986690142857)</f>
        <v>173.698669</v>
      </c>
      <c r="F397" s="21">
        <f>IFERROR(__xludf.DUMMYFUNCTION("""COMPUTED_VALUE"""),193.91428571428574)</f>
        <v>193.9142857</v>
      </c>
      <c r="G397" s="21">
        <f>IFERROR(__xludf.DUMMYFUNCTION("""COMPUTED_VALUE"""),356.29)</f>
        <v>356.29</v>
      </c>
    </row>
    <row r="398">
      <c r="A398" s="23">
        <f>IFERROR(__xludf.DUMMYFUNCTION("""COMPUTED_VALUE"""),44958.0)</f>
        <v>44958</v>
      </c>
      <c r="B398" s="21">
        <f>IFERROR(__xludf.DUMMYFUNCTION("""COMPUTED_VALUE"""),357.21)</f>
        <v>357.21</v>
      </c>
      <c r="C398" s="22">
        <f>IFERROR(__xludf.DUMMYFUNCTION("""COMPUTED_VALUE"""),260.43)</f>
        <v>260.43</v>
      </c>
      <c r="D398" s="22">
        <f>IFERROR(__xludf.DUMMYFUNCTION("""COMPUTED_VALUE"""),405.6)</f>
        <v>405.6</v>
      </c>
      <c r="E398" s="21">
        <f>IFERROR(__xludf.DUMMYFUNCTION("""COMPUTED_VALUE"""),170.11868588571429)</f>
        <v>170.1186859</v>
      </c>
      <c r="F398" s="21">
        <f>IFERROR(__xludf.DUMMYFUNCTION("""COMPUTED_VALUE"""),191.07142857142858)</f>
        <v>191.0714286</v>
      </c>
      <c r="G398" s="21">
        <f>IFERROR(__xludf.DUMMYFUNCTION("""COMPUTED_VALUE"""),356.29)</f>
        <v>356.29</v>
      </c>
    </row>
    <row r="399">
      <c r="A399" s="20">
        <f>IFERROR(__xludf.DUMMYFUNCTION("""COMPUTED_VALUE"""),44959.0)</f>
        <v>44959</v>
      </c>
      <c r="B399" s="21">
        <f>IFERROR(__xludf.DUMMYFUNCTION("""COMPUTED_VALUE"""),357.21)</f>
        <v>357.21</v>
      </c>
      <c r="C399" s="22">
        <f>IFERROR(__xludf.DUMMYFUNCTION("""COMPUTED_VALUE"""),260.43)</f>
        <v>260.43</v>
      </c>
      <c r="D399" s="22">
        <f>IFERROR(__xludf.DUMMYFUNCTION("""COMPUTED_VALUE"""),405.6)</f>
        <v>405.6</v>
      </c>
      <c r="E399" s="21">
        <f>IFERROR(__xludf.DUMMYFUNCTION("""COMPUTED_VALUE"""),171.07000000000002)</f>
        <v>171.07</v>
      </c>
      <c r="F399" s="21">
        <f>IFERROR(__xludf.DUMMYFUNCTION("""COMPUTED_VALUE"""),188.22857142857146)</f>
        <v>188.2285714</v>
      </c>
      <c r="G399" s="21">
        <f>IFERROR(__xludf.DUMMYFUNCTION("""COMPUTED_VALUE"""),356.29)</f>
        <v>356.29</v>
      </c>
    </row>
    <row r="400">
      <c r="A400" s="20">
        <f>IFERROR(__xludf.DUMMYFUNCTION("""COMPUTED_VALUE"""),44960.0)</f>
        <v>44960</v>
      </c>
      <c r="B400" s="21">
        <f>IFERROR(__xludf.DUMMYFUNCTION("""COMPUTED_VALUE"""),357.21)</f>
        <v>357.21</v>
      </c>
      <c r="C400" s="22">
        <f>IFERROR(__xludf.DUMMYFUNCTION("""COMPUTED_VALUE"""),260.43)</f>
        <v>260.43</v>
      </c>
      <c r="D400" s="22">
        <f>IFERROR(__xludf.DUMMYFUNCTION("""COMPUTED_VALUE"""),405.6)</f>
        <v>405.6</v>
      </c>
      <c r="E400" s="21">
        <f>IFERROR(__xludf.DUMMYFUNCTION("""COMPUTED_VALUE"""),170.6514285714286)</f>
        <v>170.6514286</v>
      </c>
      <c r="F400" s="21">
        <f>IFERROR(__xludf.DUMMYFUNCTION("""COMPUTED_VALUE"""),185.3857142857143)</f>
        <v>185.3857143</v>
      </c>
      <c r="G400" s="21">
        <f>IFERROR(__xludf.DUMMYFUNCTION("""COMPUTED_VALUE"""),356.29)</f>
        <v>356.29</v>
      </c>
    </row>
    <row r="401">
      <c r="A401" s="20">
        <f>IFERROR(__xludf.DUMMYFUNCTION("""COMPUTED_VALUE"""),44961.0)</f>
        <v>44961</v>
      </c>
      <c r="B401" s="21">
        <f>IFERROR(__xludf.DUMMYFUNCTION("""COMPUTED_VALUE"""),357.21)</f>
        <v>357.21</v>
      </c>
      <c r="C401" s="22">
        <f>IFERROR(__xludf.DUMMYFUNCTION("""COMPUTED_VALUE"""),260.43)</f>
        <v>260.43</v>
      </c>
      <c r="D401" s="22">
        <f>IFERROR(__xludf.DUMMYFUNCTION("""COMPUTED_VALUE"""),405.6)</f>
        <v>405.6</v>
      </c>
      <c r="E401" s="21">
        <f>IFERROR(__xludf.DUMMYFUNCTION("""COMPUTED_VALUE"""),169.37142857142857)</f>
        <v>169.3714286</v>
      </c>
      <c r="F401" s="21">
        <f>IFERROR(__xludf.DUMMYFUNCTION("""COMPUTED_VALUE"""),182.54285714285717)</f>
        <v>182.5428571</v>
      </c>
      <c r="G401" s="21">
        <f>IFERROR(__xludf.DUMMYFUNCTION("""COMPUTED_VALUE"""),356.29)</f>
        <v>356.29</v>
      </c>
    </row>
    <row r="402">
      <c r="A402" s="20">
        <f>IFERROR(__xludf.DUMMYFUNCTION("""COMPUTED_VALUE"""),44962.0)</f>
        <v>44962</v>
      </c>
      <c r="B402" s="21">
        <f>IFERROR(__xludf.DUMMYFUNCTION("""COMPUTED_VALUE"""),357.21)</f>
        <v>357.21</v>
      </c>
      <c r="C402" s="22">
        <f>IFERROR(__xludf.DUMMYFUNCTION("""COMPUTED_VALUE"""),260.43)</f>
        <v>260.43</v>
      </c>
      <c r="D402" s="22">
        <f>IFERROR(__xludf.DUMMYFUNCTION("""COMPUTED_VALUE"""),405.6)</f>
        <v>405.6</v>
      </c>
      <c r="E402" s="21">
        <f>IFERROR(__xludf.DUMMYFUNCTION("""COMPUTED_VALUE"""),167.14571428571426)</f>
        <v>167.1457143</v>
      </c>
      <c r="F402" s="21">
        <f>IFERROR(__xludf.DUMMYFUNCTION("""COMPUTED_VALUE"""),179.70000000000002)</f>
        <v>179.7</v>
      </c>
      <c r="G402" s="21">
        <f>IFERROR(__xludf.DUMMYFUNCTION("""COMPUTED_VALUE"""),356.29)</f>
        <v>356.29</v>
      </c>
    </row>
    <row r="403">
      <c r="A403" s="20">
        <f>IFERROR(__xludf.DUMMYFUNCTION("""COMPUTED_VALUE"""),44963.0)</f>
        <v>44963</v>
      </c>
      <c r="B403" s="21">
        <f>IFERROR(__xludf.DUMMYFUNCTION("""COMPUTED_VALUE"""),355.59)</f>
        <v>355.59</v>
      </c>
      <c r="C403" s="22">
        <f>IFERROR(__xludf.DUMMYFUNCTION("""COMPUTED_VALUE"""),260.43)</f>
        <v>260.43</v>
      </c>
      <c r="D403" s="22">
        <f>IFERROR(__xludf.DUMMYFUNCTION("""COMPUTED_VALUE"""),403.65)</f>
        <v>403.65</v>
      </c>
      <c r="E403" s="21">
        <f>IFERROR(__xludf.DUMMYFUNCTION("""COMPUTED_VALUE"""),166.3042857142857)</f>
        <v>166.3042857</v>
      </c>
      <c r="F403" s="21">
        <f>IFERROR(__xludf.DUMMYFUNCTION("""COMPUTED_VALUE"""),179.70000000000002)</f>
        <v>179.7</v>
      </c>
      <c r="G403" s="21">
        <f>IFERROR(__xludf.DUMMYFUNCTION("""COMPUTED_VALUE"""),356.29)</f>
        <v>356.29</v>
      </c>
    </row>
    <row r="404">
      <c r="A404" s="20">
        <f>IFERROR(__xludf.DUMMYFUNCTION("""COMPUTED_VALUE"""),44964.0)</f>
        <v>44964</v>
      </c>
      <c r="B404" s="21">
        <f>IFERROR(__xludf.DUMMYFUNCTION("""COMPUTED_VALUE"""),355.59)</f>
        <v>355.59</v>
      </c>
      <c r="C404" s="22">
        <f>IFERROR(__xludf.DUMMYFUNCTION("""COMPUTED_VALUE"""),260.43)</f>
        <v>260.43</v>
      </c>
      <c r="D404" s="22">
        <f>IFERROR(__xludf.DUMMYFUNCTION("""COMPUTED_VALUE"""),403.65)</f>
        <v>403.65</v>
      </c>
      <c r="E404" s="21">
        <f>IFERROR(__xludf.DUMMYFUNCTION("""COMPUTED_VALUE"""),168.76285714285714)</f>
        <v>168.7628571</v>
      </c>
      <c r="F404" s="21">
        <f>IFERROR(__xludf.DUMMYFUNCTION("""COMPUTED_VALUE"""),179.70000000000002)</f>
        <v>179.7</v>
      </c>
      <c r="G404" s="21">
        <f>IFERROR(__xludf.DUMMYFUNCTION("""COMPUTED_VALUE"""),356.29)</f>
        <v>356.29</v>
      </c>
    </row>
    <row r="405">
      <c r="A405" s="20">
        <f>IFERROR(__xludf.DUMMYFUNCTION("""COMPUTED_VALUE"""),44965.0)</f>
        <v>44965</v>
      </c>
      <c r="B405" s="21">
        <f>IFERROR(__xludf.DUMMYFUNCTION("""COMPUTED_VALUE"""),355.59)</f>
        <v>355.59</v>
      </c>
      <c r="C405" s="22">
        <f>IFERROR(__xludf.DUMMYFUNCTION("""COMPUTED_VALUE"""),260.43)</f>
        <v>260.43</v>
      </c>
      <c r="D405" s="22">
        <f>IFERROR(__xludf.DUMMYFUNCTION("""COMPUTED_VALUE"""),403.65)</f>
        <v>403.65</v>
      </c>
      <c r="E405" s="21">
        <f>IFERROR(__xludf.DUMMYFUNCTION("""COMPUTED_VALUE"""),169.6)</f>
        <v>169.6</v>
      </c>
      <c r="F405" s="21">
        <f>IFERROR(__xludf.DUMMYFUNCTION("""COMPUTED_VALUE"""),179.70000000000002)</f>
        <v>179.7</v>
      </c>
      <c r="G405" s="21">
        <f>IFERROR(__xludf.DUMMYFUNCTION("""COMPUTED_VALUE"""),356.29)</f>
        <v>356.29</v>
      </c>
    </row>
    <row r="406">
      <c r="A406" s="20">
        <f>IFERROR(__xludf.DUMMYFUNCTION("""COMPUTED_VALUE"""),44966.0)</f>
        <v>44966</v>
      </c>
      <c r="B406" s="21">
        <f>IFERROR(__xludf.DUMMYFUNCTION("""COMPUTED_VALUE"""),355.59)</f>
        <v>355.59</v>
      </c>
      <c r="C406" s="22">
        <f>IFERROR(__xludf.DUMMYFUNCTION("""COMPUTED_VALUE"""),260.43)</f>
        <v>260.43</v>
      </c>
      <c r="D406" s="22">
        <f>IFERROR(__xludf.DUMMYFUNCTION("""COMPUTED_VALUE"""),403.65)</f>
        <v>403.65</v>
      </c>
      <c r="E406" s="21">
        <f>IFERROR(__xludf.DUMMYFUNCTION("""COMPUTED_VALUE"""),169.4014285714286)</f>
        <v>169.4014286</v>
      </c>
      <c r="F406" s="21">
        <f>IFERROR(__xludf.DUMMYFUNCTION("""COMPUTED_VALUE"""),179.70000000000002)</f>
        <v>179.7</v>
      </c>
      <c r="G406" s="21">
        <f>IFERROR(__xludf.DUMMYFUNCTION("""COMPUTED_VALUE"""),356.29)</f>
        <v>356.29</v>
      </c>
    </row>
    <row r="407">
      <c r="A407" s="20">
        <f>IFERROR(__xludf.DUMMYFUNCTION("""COMPUTED_VALUE"""),44967.0)</f>
        <v>44967</v>
      </c>
      <c r="B407" s="21">
        <f>IFERROR(__xludf.DUMMYFUNCTION("""COMPUTED_VALUE"""),355.59)</f>
        <v>355.59</v>
      </c>
      <c r="C407" s="22">
        <f>IFERROR(__xludf.DUMMYFUNCTION("""COMPUTED_VALUE"""),260.43)</f>
        <v>260.43</v>
      </c>
      <c r="D407" s="22">
        <f>IFERROR(__xludf.DUMMYFUNCTION("""COMPUTED_VALUE"""),403.65)</f>
        <v>403.65</v>
      </c>
      <c r="E407" s="21">
        <f>IFERROR(__xludf.DUMMYFUNCTION("""COMPUTED_VALUE"""),169.21714285714285)</f>
        <v>169.2171429</v>
      </c>
      <c r="F407" s="21">
        <f>IFERROR(__xludf.DUMMYFUNCTION("""COMPUTED_VALUE"""),179.70000000000002)</f>
        <v>179.7</v>
      </c>
      <c r="G407" s="21">
        <f>IFERROR(__xludf.DUMMYFUNCTION("""COMPUTED_VALUE"""),356.29)</f>
        <v>356.29</v>
      </c>
    </row>
    <row r="408">
      <c r="A408" s="20">
        <f>IFERROR(__xludf.DUMMYFUNCTION("""COMPUTED_VALUE"""),44968.0)</f>
        <v>44968</v>
      </c>
      <c r="B408" s="21">
        <f>IFERROR(__xludf.DUMMYFUNCTION("""COMPUTED_VALUE"""),355.59)</f>
        <v>355.59</v>
      </c>
      <c r="C408" s="22">
        <f>IFERROR(__xludf.DUMMYFUNCTION("""COMPUTED_VALUE"""),260.43)</f>
        <v>260.43</v>
      </c>
      <c r="D408" s="22">
        <f>IFERROR(__xludf.DUMMYFUNCTION("""COMPUTED_VALUE"""),403.65)</f>
        <v>403.65</v>
      </c>
      <c r="E408" s="21">
        <f>IFERROR(__xludf.DUMMYFUNCTION("""COMPUTED_VALUE"""),171.70142857142855)</f>
        <v>171.7014286</v>
      </c>
      <c r="F408" s="21">
        <f>IFERROR(__xludf.DUMMYFUNCTION("""COMPUTED_VALUE"""),179.70000000000002)</f>
        <v>179.7</v>
      </c>
      <c r="G408" s="21">
        <f>IFERROR(__xludf.DUMMYFUNCTION("""COMPUTED_VALUE"""),356.29)</f>
        <v>356.29</v>
      </c>
    </row>
    <row r="409">
      <c r="A409" s="20">
        <f>IFERROR(__xludf.DUMMYFUNCTION("""COMPUTED_VALUE"""),44969.0)</f>
        <v>44969</v>
      </c>
      <c r="B409" s="21">
        <f>IFERROR(__xludf.DUMMYFUNCTION("""COMPUTED_VALUE"""),355.59)</f>
        <v>355.59</v>
      </c>
      <c r="C409" s="22">
        <f>IFERROR(__xludf.DUMMYFUNCTION("""COMPUTED_VALUE"""),260.43)</f>
        <v>260.43</v>
      </c>
      <c r="D409" s="22">
        <f>IFERROR(__xludf.DUMMYFUNCTION("""COMPUTED_VALUE"""),403.65)</f>
        <v>403.65</v>
      </c>
      <c r="E409" s="21">
        <f>IFERROR(__xludf.DUMMYFUNCTION("""COMPUTED_VALUE"""),173.0257142857143)</f>
        <v>173.0257143</v>
      </c>
      <c r="F409" s="21">
        <f>IFERROR(__xludf.DUMMYFUNCTION("""COMPUTED_VALUE"""),179.70000000000002)</f>
        <v>179.7</v>
      </c>
      <c r="G409" s="21">
        <f>IFERROR(__xludf.DUMMYFUNCTION("""COMPUTED_VALUE"""),356.29)</f>
        <v>356.29</v>
      </c>
    </row>
    <row r="410">
      <c r="A410" s="20">
        <f>IFERROR(__xludf.DUMMYFUNCTION("""COMPUTED_VALUE"""),44970.0)</f>
        <v>44970</v>
      </c>
      <c r="B410" s="21">
        <f>IFERROR(__xludf.DUMMYFUNCTION("""COMPUTED_VALUE"""),309.3)</f>
        <v>309.3</v>
      </c>
      <c r="C410" s="22">
        <f>IFERROR(__xludf.DUMMYFUNCTION("""COMPUTED_VALUE"""),222.26)</f>
        <v>222.26</v>
      </c>
      <c r="D410" s="22">
        <f>IFERROR(__xludf.DUMMYFUNCTION("""COMPUTED_VALUE"""),371.91)</f>
        <v>371.91</v>
      </c>
      <c r="E410" s="21">
        <f>IFERROR(__xludf.DUMMYFUNCTION("""COMPUTED_VALUE"""),172.27285714285713)</f>
        <v>172.2728571</v>
      </c>
      <c r="F410" s="21">
        <f>IFERROR(__xludf.DUMMYFUNCTION("""COMPUTED_VALUE"""),179.34285714285716)</f>
        <v>179.3428571</v>
      </c>
      <c r="G410" s="21">
        <f>IFERROR(__xludf.DUMMYFUNCTION("""COMPUTED_VALUE"""),356.29)</f>
        <v>356.29</v>
      </c>
    </row>
    <row r="411">
      <c r="A411" s="23">
        <f>IFERROR(__xludf.DUMMYFUNCTION("""COMPUTED_VALUE"""),44971.0)</f>
        <v>44971</v>
      </c>
      <c r="B411" s="21">
        <f>IFERROR(__xludf.DUMMYFUNCTION("""COMPUTED_VALUE"""),309.3)</f>
        <v>309.3</v>
      </c>
      <c r="C411" s="22">
        <f>IFERROR(__xludf.DUMMYFUNCTION("""COMPUTED_VALUE"""),222.26)</f>
        <v>222.26</v>
      </c>
      <c r="D411" s="22">
        <f>IFERROR(__xludf.DUMMYFUNCTION("""COMPUTED_VALUE"""),371.91)</f>
        <v>371.91</v>
      </c>
      <c r="E411" s="21">
        <f>IFERROR(__xludf.DUMMYFUNCTION("""COMPUTED_VALUE"""),169.7028571428571)</f>
        <v>169.7028571</v>
      </c>
      <c r="F411" s="21">
        <f>IFERROR(__xludf.DUMMYFUNCTION("""COMPUTED_VALUE"""),178.9857142857143)</f>
        <v>178.9857143</v>
      </c>
      <c r="G411" s="21">
        <f>IFERROR(__xludf.DUMMYFUNCTION("""COMPUTED_VALUE"""),356.29)</f>
        <v>356.29</v>
      </c>
    </row>
    <row r="412">
      <c r="A412" s="23">
        <f>IFERROR(__xludf.DUMMYFUNCTION("""COMPUTED_VALUE"""),44972.0)</f>
        <v>44972</v>
      </c>
      <c r="B412" s="21">
        <f>IFERROR(__xludf.DUMMYFUNCTION("""COMPUTED_VALUE"""),309.3)</f>
        <v>309.3</v>
      </c>
      <c r="C412" s="22">
        <f>IFERROR(__xludf.DUMMYFUNCTION("""COMPUTED_VALUE"""),222.26)</f>
        <v>222.26</v>
      </c>
      <c r="D412" s="22">
        <f>IFERROR(__xludf.DUMMYFUNCTION("""COMPUTED_VALUE"""),371.91)</f>
        <v>371.91</v>
      </c>
      <c r="E412" s="21">
        <f>IFERROR(__xludf.DUMMYFUNCTION("""COMPUTED_VALUE"""),169.25571428571428)</f>
        <v>169.2557143</v>
      </c>
      <c r="F412" s="21">
        <f>IFERROR(__xludf.DUMMYFUNCTION("""COMPUTED_VALUE"""),178.62857142857143)</f>
        <v>178.6285714</v>
      </c>
      <c r="G412" s="21">
        <f>IFERROR(__xludf.DUMMYFUNCTION("""COMPUTED_VALUE"""),356.29)</f>
        <v>356.29</v>
      </c>
    </row>
    <row r="413">
      <c r="A413" s="23">
        <f>IFERROR(__xludf.DUMMYFUNCTION("""COMPUTED_VALUE"""),44973.0)</f>
        <v>44973</v>
      </c>
      <c r="B413" s="21">
        <f>IFERROR(__xludf.DUMMYFUNCTION("""COMPUTED_VALUE"""),309.3)</f>
        <v>309.3</v>
      </c>
      <c r="C413" s="22">
        <f>IFERROR(__xludf.DUMMYFUNCTION("""COMPUTED_VALUE"""),222.26)</f>
        <v>222.26</v>
      </c>
      <c r="D413" s="22">
        <f>IFERROR(__xludf.DUMMYFUNCTION("""COMPUTED_VALUE"""),371.91)</f>
        <v>371.91</v>
      </c>
      <c r="E413" s="21">
        <f>IFERROR(__xludf.DUMMYFUNCTION("""COMPUTED_VALUE"""),166.7942857142857)</f>
        <v>166.7942857</v>
      </c>
      <c r="F413" s="21">
        <f>IFERROR(__xludf.DUMMYFUNCTION("""COMPUTED_VALUE"""),178.27142857142857)</f>
        <v>178.2714286</v>
      </c>
      <c r="G413" s="21">
        <f>IFERROR(__xludf.DUMMYFUNCTION("""COMPUTED_VALUE"""),356.29)</f>
        <v>356.29</v>
      </c>
    </row>
    <row r="414">
      <c r="A414" s="23">
        <f>IFERROR(__xludf.DUMMYFUNCTION("""COMPUTED_VALUE"""),44974.0)</f>
        <v>44974</v>
      </c>
      <c r="B414" s="21">
        <f>IFERROR(__xludf.DUMMYFUNCTION("""COMPUTED_VALUE"""),309.3)</f>
        <v>309.3</v>
      </c>
      <c r="C414" s="22">
        <f>IFERROR(__xludf.DUMMYFUNCTION("""COMPUTED_VALUE"""),222.26)</f>
        <v>222.26</v>
      </c>
      <c r="D414" s="22">
        <f>IFERROR(__xludf.DUMMYFUNCTION("""COMPUTED_VALUE"""),371.91)</f>
        <v>371.91</v>
      </c>
      <c r="E414" s="21">
        <f>IFERROR(__xludf.DUMMYFUNCTION("""COMPUTED_VALUE"""),166.47714285714284)</f>
        <v>166.4771429</v>
      </c>
      <c r="F414" s="21">
        <f>IFERROR(__xludf.DUMMYFUNCTION("""COMPUTED_VALUE"""),177.91428571428574)</f>
        <v>177.9142857</v>
      </c>
      <c r="G414" s="21">
        <f>IFERROR(__xludf.DUMMYFUNCTION("""COMPUTED_VALUE"""),356.29)</f>
        <v>356.29</v>
      </c>
    </row>
    <row r="415">
      <c r="A415" s="23">
        <f>IFERROR(__xludf.DUMMYFUNCTION("""COMPUTED_VALUE"""),44975.0)</f>
        <v>44975</v>
      </c>
      <c r="B415" s="21">
        <f>IFERROR(__xludf.DUMMYFUNCTION("""COMPUTED_VALUE"""),309.3)</f>
        <v>309.3</v>
      </c>
      <c r="C415" s="22">
        <f>IFERROR(__xludf.DUMMYFUNCTION("""COMPUTED_VALUE"""),222.26)</f>
        <v>222.26</v>
      </c>
      <c r="D415" s="22">
        <f>IFERROR(__xludf.DUMMYFUNCTION("""COMPUTED_VALUE"""),371.91)</f>
        <v>371.91</v>
      </c>
      <c r="E415" s="21">
        <f>IFERROR(__xludf.DUMMYFUNCTION("""COMPUTED_VALUE"""),161.64000000000001)</f>
        <v>161.64</v>
      </c>
      <c r="F415" s="21">
        <f>IFERROR(__xludf.DUMMYFUNCTION("""COMPUTED_VALUE"""),177.55714285714288)</f>
        <v>177.5571429</v>
      </c>
      <c r="G415" s="21">
        <f>IFERROR(__xludf.DUMMYFUNCTION("""COMPUTED_VALUE"""),356.29)</f>
        <v>356.29</v>
      </c>
    </row>
    <row r="416">
      <c r="A416" s="23">
        <f>IFERROR(__xludf.DUMMYFUNCTION("""COMPUTED_VALUE"""),44976.0)</f>
        <v>44976</v>
      </c>
      <c r="B416" s="21">
        <f>IFERROR(__xludf.DUMMYFUNCTION("""COMPUTED_VALUE"""),309.3)</f>
        <v>309.3</v>
      </c>
      <c r="C416" s="22">
        <f>IFERROR(__xludf.DUMMYFUNCTION("""COMPUTED_VALUE"""),222.26)</f>
        <v>222.26</v>
      </c>
      <c r="D416" s="22">
        <f>IFERROR(__xludf.DUMMYFUNCTION("""COMPUTED_VALUE"""),371.91)</f>
        <v>371.91</v>
      </c>
      <c r="E416" s="21">
        <f>IFERROR(__xludf.DUMMYFUNCTION("""COMPUTED_VALUE"""),159.51)</f>
        <v>159.51</v>
      </c>
      <c r="F416" s="21">
        <f>IFERROR(__xludf.DUMMYFUNCTION("""COMPUTED_VALUE"""),177.20000000000002)</f>
        <v>177.2</v>
      </c>
      <c r="G416" s="21">
        <f>IFERROR(__xludf.DUMMYFUNCTION("""COMPUTED_VALUE"""),356.29)</f>
        <v>356.29</v>
      </c>
    </row>
    <row r="417">
      <c r="A417" s="23">
        <f>IFERROR(__xludf.DUMMYFUNCTION("""COMPUTED_VALUE"""),44977.0)</f>
        <v>44977</v>
      </c>
      <c r="B417" s="21">
        <f>IFERROR(__xludf.DUMMYFUNCTION("""COMPUTED_VALUE"""),309.13)</f>
        <v>309.13</v>
      </c>
      <c r="C417" s="22">
        <f>IFERROR(__xludf.DUMMYFUNCTION("""COMPUTED_VALUE"""),222.26)</f>
        <v>222.26</v>
      </c>
      <c r="D417" s="22">
        <f>IFERROR(__xludf.DUMMYFUNCTION("""COMPUTED_VALUE"""),393.66)</f>
        <v>393.66</v>
      </c>
      <c r="E417" s="21">
        <f>IFERROR(__xludf.DUMMYFUNCTION("""COMPUTED_VALUE"""),158.0642857142857)</f>
        <v>158.0642857</v>
      </c>
      <c r="F417" s="21">
        <f>IFERROR(__xludf.DUMMYFUNCTION("""COMPUTED_VALUE"""),177.20000000000002)</f>
        <v>177.2</v>
      </c>
      <c r="G417" s="21">
        <f>IFERROR(__xludf.DUMMYFUNCTION("""COMPUTED_VALUE"""),356.29)</f>
        <v>356.29</v>
      </c>
    </row>
    <row r="418">
      <c r="A418" s="23">
        <f>IFERROR(__xludf.DUMMYFUNCTION("""COMPUTED_VALUE"""),44978.0)</f>
        <v>44978</v>
      </c>
      <c r="B418" s="21">
        <f>IFERROR(__xludf.DUMMYFUNCTION("""COMPUTED_VALUE"""),309.13)</f>
        <v>309.13</v>
      </c>
      <c r="C418" s="22">
        <f>IFERROR(__xludf.DUMMYFUNCTION("""COMPUTED_VALUE"""),222.26)</f>
        <v>222.26</v>
      </c>
      <c r="D418" s="22">
        <f>IFERROR(__xludf.DUMMYFUNCTION("""COMPUTED_VALUE"""),393.66)</f>
        <v>393.66</v>
      </c>
      <c r="E418" s="21">
        <f>IFERROR(__xludf.DUMMYFUNCTION("""COMPUTED_VALUE"""),157.79571428571427)</f>
        <v>157.7957143</v>
      </c>
      <c r="F418" s="21">
        <f>IFERROR(__xludf.DUMMYFUNCTION("""COMPUTED_VALUE"""),177.20000000000002)</f>
        <v>177.2</v>
      </c>
      <c r="G418" s="21">
        <f>IFERROR(__xludf.DUMMYFUNCTION("""COMPUTED_VALUE"""),356.29)</f>
        <v>356.29</v>
      </c>
    </row>
    <row r="419">
      <c r="A419" s="23">
        <f>IFERROR(__xludf.DUMMYFUNCTION("""COMPUTED_VALUE"""),44979.0)</f>
        <v>44979</v>
      </c>
      <c r="B419" s="21">
        <f>IFERROR(__xludf.DUMMYFUNCTION("""COMPUTED_VALUE"""),309.13)</f>
        <v>309.13</v>
      </c>
      <c r="C419" s="22">
        <f>IFERROR(__xludf.DUMMYFUNCTION("""COMPUTED_VALUE"""),222.26)</f>
        <v>222.26</v>
      </c>
      <c r="D419" s="22">
        <f>IFERROR(__xludf.DUMMYFUNCTION("""COMPUTED_VALUE"""),393.66)</f>
        <v>393.66</v>
      </c>
      <c r="E419" s="21">
        <f>IFERROR(__xludf.DUMMYFUNCTION("""COMPUTED_VALUE"""),157.3057142857143)</f>
        <v>157.3057143</v>
      </c>
      <c r="F419" s="21">
        <f>IFERROR(__xludf.DUMMYFUNCTION("""COMPUTED_VALUE"""),177.20000000000002)</f>
        <v>177.2</v>
      </c>
      <c r="G419" s="21">
        <f>IFERROR(__xludf.DUMMYFUNCTION("""COMPUTED_VALUE"""),356.29)</f>
        <v>356.29</v>
      </c>
    </row>
    <row r="420">
      <c r="A420" s="23">
        <f>IFERROR(__xludf.DUMMYFUNCTION("""COMPUTED_VALUE"""),44980.0)</f>
        <v>44980</v>
      </c>
      <c r="B420" s="21">
        <f>IFERROR(__xludf.DUMMYFUNCTION("""COMPUTED_VALUE"""),309.13)</f>
        <v>309.13</v>
      </c>
      <c r="C420" s="22">
        <f>IFERROR(__xludf.DUMMYFUNCTION("""COMPUTED_VALUE"""),222.26)</f>
        <v>222.26</v>
      </c>
      <c r="D420" s="22">
        <f>IFERROR(__xludf.DUMMYFUNCTION("""COMPUTED_VALUE"""),393.66)</f>
        <v>393.66</v>
      </c>
      <c r="E420" s="21">
        <f>IFERROR(__xludf.DUMMYFUNCTION("""COMPUTED_VALUE"""),156.34714285714287)</f>
        <v>156.3471429</v>
      </c>
      <c r="F420" s="21">
        <f>IFERROR(__xludf.DUMMYFUNCTION("""COMPUTED_VALUE"""),177.20000000000002)</f>
        <v>177.2</v>
      </c>
      <c r="G420" s="21">
        <f>IFERROR(__xludf.DUMMYFUNCTION("""COMPUTED_VALUE"""),356.29)</f>
        <v>356.29</v>
      </c>
    </row>
    <row r="421">
      <c r="A421" s="23">
        <f>IFERROR(__xludf.DUMMYFUNCTION("""COMPUTED_VALUE"""),44981.0)</f>
        <v>44981</v>
      </c>
      <c r="B421" s="21">
        <f>IFERROR(__xludf.DUMMYFUNCTION("""COMPUTED_VALUE"""),309.13)</f>
        <v>309.13</v>
      </c>
      <c r="C421" s="22">
        <f>IFERROR(__xludf.DUMMYFUNCTION("""COMPUTED_VALUE"""),222.26)</f>
        <v>222.26</v>
      </c>
      <c r="D421" s="22">
        <f>IFERROR(__xludf.DUMMYFUNCTION("""COMPUTED_VALUE"""),393.66)</f>
        <v>393.66</v>
      </c>
      <c r="E421" s="21">
        <f>IFERROR(__xludf.DUMMYFUNCTION("""COMPUTED_VALUE"""),156.09)</f>
        <v>156.09</v>
      </c>
      <c r="F421" s="21">
        <f>IFERROR(__xludf.DUMMYFUNCTION("""COMPUTED_VALUE"""),177.20000000000002)</f>
        <v>177.2</v>
      </c>
      <c r="G421" s="21">
        <f>IFERROR(__xludf.DUMMYFUNCTION("""COMPUTED_VALUE"""),356.29)</f>
        <v>356.29</v>
      </c>
    </row>
    <row r="422">
      <c r="A422" s="23">
        <f>IFERROR(__xludf.DUMMYFUNCTION("""COMPUTED_VALUE"""),44982.0)</f>
        <v>44982</v>
      </c>
      <c r="B422" s="21">
        <f>IFERROR(__xludf.DUMMYFUNCTION("""COMPUTED_VALUE"""),309.13)</f>
        <v>309.13</v>
      </c>
      <c r="C422" s="22">
        <f>IFERROR(__xludf.DUMMYFUNCTION("""COMPUTED_VALUE"""),222.26)</f>
        <v>222.26</v>
      </c>
      <c r="D422" s="22">
        <f>IFERROR(__xludf.DUMMYFUNCTION("""COMPUTED_VALUE"""),393.66)</f>
        <v>393.66</v>
      </c>
      <c r="E422" s="21">
        <f>IFERROR(__xludf.DUMMYFUNCTION("""COMPUTED_VALUE"""),157.08571428571426)</f>
        <v>157.0857143</v>
      </c>
      <c r="F422" s="21">
        <f>IFERROR(__xludf.DUMMYFUNCTION("""COMPUTED_VALUE"""),177.20000000000002)</f>
        <v>177.2</v>
      </c>
      <c r="G422" s="21">
        <f>IFERROR(__xludf.DUMMYFUNCTION("""COMPUTED_VALUE"""),356.29)</f>
        <v>356.29</v>
      </c>
    </row>
    <row r="423">
      <c r="A423" s="23">
        <f>IFERROR(__xludf.DUMMYFUNCTION("""COMPUTED_VALUE"""),44983.0)</f>
        <v>44983</v>
      </c>
      <c r="B423" s="21">
        <f>IFERROR(__xludf.DUMMYFUNCTION("""COMPUTED_VALUE"""),309.13)</f>
        <v>309.13</v>
      </c>
      <c r="C423" s="22">
        <f>IFERROR(__xludf.DUMMYFUNCTION("""COMPUTED_VALUE"""),222.26)</f>
        <v>222.26</v>
      </c>
      <c r="D423" s="22">
        <f>IFERROR(__xludf.DUMMYFUNCTION("""COMPUTED_VALUE"""),393.66)</f>
        <v>393.66</v>
      </c>
      <c r="E423" s="21">
        <f>IFERROR(__xludf.DUMMYFUNCTION("""COMPUTED_VALUE"""),155.7671428571429)</f>
        <v>155.7671429</v>
      </c>
      <c r="F423" s="21">
        <f>IFERROR(__xludf.DUMMYFUNCTION("""COMPUTED_VALUE"""),177.20000000000002)</f>
        <v>177.2</v>
      </c>
      <c r="G423" s="21">
        <f>IFERROR(__xludf.DUMMYFUNCTION("""COMPUTED_VALUE"""),356.29)</f>
        <v>356.29</v>
      </c>
    </row>
    <row r="424">
      <c r="A424" s="23">
        <f>IFERROR(__xludf.DUMMYFUNCTION("""COMPUTED_VALUE"""),44984.0)</f>
        <v>44984</v>
      </c>
      <c r="B424" s="21">
        <f>IFERROR(__xludf.DUMMYFUNCTION("""COMPUTED_VALUE"""),302.83)</f>
        <v>302.83</v>
      </c>
      <c r="C424" s="22">
        <f>IFERROR(__xludf.DUMMYFUNCTION("""COMPUTED_VALUE"""),220.58)</f>
        <v>220.58</v>
      </c>
      <c r="D424" s="22">
        <f>IFERROR(__xludf.DUMMYFUNCTION("""COMPUTED_VALUE"""),393.66)</f>
        <v>393.66</v>
      </c>
      <c r="E424" s="21">
        <f>IFERROR(__xludf.DUMMYFUNCTION("""COMPUTED_VALUE"""),158.06571428571428)</f>
        <v>158.0657143</v>
      </c>
      <c r="F424" s="21">
        <f>IFERROR(__xludf.DUMMYFUNCTION("""COMPUTED_VALUE"""),176.25142857142856)</f>
        <v>176.2514286</v>
      </c>
      <c r="G424" s="21">
        <f>IFERROR(__xludf.DUMMYFUNCTION("""COMPUTED_VALUE"""),356.29)</f>
        <v>356.29</v>
      </c>
    </row>
    <row r="425">
      <c r="A425" s="23">
        <f>IFERROR(__xludf.DUMMYFUNCTION("""COMPUTED_VALUE"""),44985.0)</f>
        <v>44985</v>
      </c>
      <c r="B425" s="21">
        <f>IFERROR(__xludf.DUMMYFUNCTION("""COMPUTED_VALUE"""),302.83)</f>
        <v>302.83</v>
      </c>
      <c r="C425" s="22">
        <f>IFERROR(__xludf.DUMMYFUNCTION("""COMPUTED_VALUE"""),220.58)</f>
        <v>220.58</v>
      </c>
      <c r="D425" s="22">
        <f>IFERROR(__xludf.DUMMYFUNCTION("""COMPUTED_VALUE"""),393.66)</f>
        <v>393.66</v>
      </c>
      <c r="E425" s="21">
        <f>IFERROR(__xludf.DUMMYFUNCTION("""COMPUTED_VALUE"""),158.5514285714286)</f>
        <v>158.5514286</v>
      </c>
      <c r="F425" s="21">
        <f>IFERROR(__xludf.DUMMYFUNCTION("""COMPUTED_VALUE"""),175.30285714285714)</f>
        <v>175.3028571</v>
      </c>
      <c r="G425" s="21">
        <f>IFERROR(__xludf.DUMMYFUNCTION("""COMPUTED_VALUE"""),356.29)</f>
        <v>356.29</v>
      </c>
    </row>
    <row r="426">
      <c r="A426" s="23">
        <f>IFERROR(__xludf.DUMMYFUNCTION("""COMPUTED_VALUE"""),44986.0)</f>
        <v>44986</v>
      </c>
      <c r="B426" s="21">
        <f>IFERROR(__xludf.DUMMYFUNCTION("""COMPUTED_VALUE"""),302.83)</f>
        <v>302.83</v>
      </c>
      <c r="C426" s="22">
        <f>IFERROR(__xludf.DUMMYFUNCTION("""COMPUTED_VALUE"""),220.58)</f>
        <v>220.58</v>
      </c>
      <c r="D426" s="22">
        <f>IFERROR(__xludf.DUMMYFUNCTION("""COMPUTED_VALUE"""),393.66)</f>
        <v>393.66</v>
      </c>
      <c r="E426" s="21">
        <f>IFERROR(__xludf.DUMMYFUNCTION("""COMPUTED_VALUE"""),159.37714285714287)</f>
        <v>159.3771429</v>
      </c>
      <c r="F426" s="21">
        <f>IFERROR(__xludf.DUMMYFUNCTION("""COMPUTED_VALUE"""),174.35428571428568)</f>
        <v>174.3542857</v>
      </c>
      <c r="G426" s="21">
        <f>IFERROR(__xludf.DUMMYFUNCTION("""COMPUTED_VALUE"""),356.29)</f>
        <v>356.29</v>
      </c>
    </row>
    <row r="427">
      <c r="A427" s="20">
        <f>IFERROR(__xludf.DUMMYFUNCTION("""COMPUTED_VALUE"""),44987.0)</f>
        <v>44987</v>
      </c>
      <c r="B427" s="21">
        <f>IFERROR(__xludf.DUMMYFUNCTION("""COMPUTED_VALUE"""),302.83)</f>
        <v>302.83</v>
      </c>
      <c r="C427" s="22">
        <f>IFERROR(__xludf.DUMMYFUNCTION("""COMPUTED_VALUE"""),220.58)</f>
        <v>220.58</v>
      </c>
      <c r="D427" s="22">
        <f>IFERROR(__xludf.DUMMYFUNCTION("""COMPUTED_VALUE"""),393.66)</f>
        <v>393.66</v>
      </c>
      <c r="E427" s="21">
        <f>IFERROR(__xludf.DUMMYFUNCTION("""COMPUTED_VALUE"""),161.12857142857143)</f>
        <v>161.1285714</v>
      </c>
      <c r="F427" s="21">
        <f>IFERROR(__xludf.DUMMYFUNCTION("""COMPUTED_VALUE"""),173.40571428571425)</f>
        <v>173.4057143</v>
      </c>
      <c r="G427" s="21">
        <f>IFERROR(__xludf.DUMMYFUNCTION("""COMPUTED_VALUE"""),356.29)</f>
        <v>356.29</v>
      </c>
    </row>
    <row r="428">
      <c r="A428" s="20">
        <f>IFERROR(__xludf.DUMMYFUNCTION("""COMPUTED_VALUE"""),44988.0)</f>
        <v>44988</v>
      </c>
      <c r="B428" s="21">
        <f>IFERROR(__xludf.DUMMYFUNCTION("""COMPUTED_VALUE"""),302.83)</f>
        <v>302.83</v>
      </c>
      <c r="C428" s="22">
        <f>IFERROR(__xludf.DUMMYFUNCTION("""COMPUTED_VALUE"""),220.58)</f>
        <v>220.58</v>
      </c>
      <c r="D428" s="22">
        <f>IFERROR(__xludf.DUMMYFUNCTION("""COMPUTED_VALUE"""),393.66)</f>
        <v>393.66</v>
      </c>
      <c r="E428" s="21">
        <f>IFERROR(__xludf.DUMMYFUNCTION("""COMPUTED_VALUE"""),161.37285714285713)</f>
        <v>161.3728571</v>
      </c>
      <c r="F428" s="21">
        <f>IFERROR(__xludf.DUMMYFUNCTION("""COMPUTED_VALUE"""),172.45714285714283)</f>
        <v>172.4571429</v>
      </c>
      <c r="G428" s="21">
        <f>IFERROR(__xludf.DUMMYFUNCTION("""COMPUTED_VALUE"""),356.29)</f>
        <v>356.29</v>
      </c>
    </row>
    <row r="429">
      <c r="A429" s="20">
        <f>IFERROR(__xludf.DUMMYFUNCTION("""COMPUTED_VALUE"""),44989.0)</f>
        <v>44989</v>
      </c>
      <c r="B429" s="21">
        <f>IFERROR(__xludf.DUMMYFUNCTION("""COMPUTED_VALUE"""),302.83)</f>
        <v>302.83</v>
      </c>
      <c r="C429" s="22">
        <f>IFERROR(__xludf.DUMMYFUNCTION("""COMPUTED_VALUE"""),220.58)</f>
        <v>220.58</v>
      </c>
      <c r="D429" s="22">
        <f>IFERROR(__xludf.DUMMYFUNCTION("""COMPUTED_VALUE"""),393.66)</f>
        <v>393.66</v>
      </c>
      <c r="E429" s="21">
        <f>IFERROR(__xludf.DUMMYFUNCTION("""COMPUTED_VALUE"""),161.0957142857143)</f>
        <v>161.0957143</v>
      </c>
      <c r="F429" s="21">
        <f>IFERROR(__xludf.DUMMYFUNCTION("""COMPUTED_VALUE"""),171.5085714285714)</f>
        <v>171.5085714</v>
      </c>
      <c r="G429" s="21">
        <f>IFERROR(__xludf.DUMMYFUNCTION("""COMPUTED_VALUE"""),356.29)</f>
        <v>356.29</v>
      </c>
    </row>
    <row r="430">
      <c r="A430" s="20">
        <f>IFERROR(__xludf.DUMMYFUNCTION("""COMPUTED_VALUE"""),44990.0)</f>
        <v>44990</v>
      </c>
      <c r="B430" s="21">
        <f>IFERROR(__xludf.DUMMYFUNCTION("""COMPUTED_VALUE"""),302.83)</f>
        <v>302.83</v>
      </c>
      <c r="C430" s="22">
        <f>IFERROR(__xludf.DUMMYFUNCTION("""COMPUTED_VALUE"""),220.58)</f>
        <v>220.58</v>
      </c>
      <c r="D430" s="22">
        <f>IFERROR(__xludf.DUMMYFUNCTION("""COMPUTED_VALUE"""),393.66)</f>
        <v>393.66</v>
      </c>
      <c r="E430" s="21">
        <f>IFERROR(__xludf.DUMMYFUNCTION("""COMPUTED_VALUE"""),163.1185714285714)</f>
        <v>163.1185714</v>
      </c>
      <c r="F430" s="21">
        <f>IFERROR(__xludf.DUMMYFUNCTION("""COMPUTED_VALUE"""),170.55999999999997)</f>
        <v>170.56</v>
      </c>
      <c r="G430" s="21">
        <f>IFERROR(__xludf.DUMMYFUNCTION("""COMPUTED_VALUE"""),356.29)</f>
        <v>356.29</v>
      </c>
    </row>
    <row r="431">
      <c r="A431" s="20">
        <f>IFERROR(__xludf.DUMMYFUNCTION("""COMPUTED_VALUE"""),44991.0)</f>
        <v>44991</v>
      </c>
      <c r="B431" s="21">
        <f>IFERROR(__xludf.DUMMYFUNCTION("""COMPUTED_VALUE"""),302.83)</f>
        <v>302.83</v>
      </c>
      <c r="C431" s="22">
        <f>IFERROR(__xludf.DUMMYFUNCTION("""COMPUTED_VALUE"""),220.58)</f>
        <v>220.58</v>
      </c>
      <c r="D431" s="22">
        <f>IFERROR(__xludf.DUMMYFUNCTION("""COMPUTED_VALUE"""),393.66)</f>
        <v>393.66</v>
      </c>
      <c r="E431" s="21">
        <f>IFERROR(__xludf.DUMMYFUNCTION("""COMPUTED_VALUE"""),158.91428571428574)</f>
        <v>158.9142857</v>
      </c>
      <c r="F431" s="21">
        <f>IFERROR(__xludf.DUMMYFUNCTION("""COMPUTED_VALUE"""),169.25714285714284)</f>
        <v>169.2571429</v>
      </c>
      <c r="G431" s="21">
        <f>IFERROR(__xludf.DUMMYFUNCTION("""COMPUTED_VALUE"""),356.29)</f>
        <v>356.29</v>
      </c>
    </row>
    <row r="432">
      <c r="A432" s="20">
        <f>IFERROR(__xludf.DUMMYFUNCTION("""COMPUTED_VALUE"""),44992.0)</f>
        <v>44992</v>
      </c>
      <c r="B432" s="21">
        <f>IFERROR(__xludf.DUMMYFUNCTION("""COMPUTED_VALUE"""),302.83)</f>
        <v>302.83</v>
      </c>
      <c r="C432" s="22">
        <f>IFERROR(__xludf.DUMMYFUNCTION("""COMPUTED_VALUE"""),220.58)</f>
        <v>220.58</v>
      </c>
      <c r="D432" s="22">
        <f>IFERROR(__xludf.DUMMYFUNCTION("""COMPUTED_VALUE"""),393.66)</f>
        <v>393.66</v>
      </c>
      <c r="E432" s="21">
        <f>IFERROR(__xludf.DUMMYFUNCTION("""COMPUTED_VALUE"""),157.46571428571428)</f>
        <v>157.4657143</v>
      </c>
      <c r="F432" s="21">
        <f>IFERROR(__xludf.DUMMYFUNCTION("""COMPUTED_VALUE"""),167.95428571428573)</f>
        <v>167.9542857</v>
      </c>
      <c r="G432" s="21">
        <f>IFERROR(__xludf.DUMMYFUNCTION("""COMPUTED_VALUE"""),356.29)</f>
        <v>356.29</v>
      </c>
    </row>
    <row r="433">
      <c r="A433" s="20">
        <f>IFERROR(__xludf.DUMMYFUNCTION("""COMPUTED_VALUE"""),44993.0)</f>
        <v>44993</v>
      </c>
      <c r="B433" s="21">
        <f>IFERROR(__xludf.DUMMYFUNCTION("""COMPUTED_VALUE"""),302.83)</f>
        <v>302.83</v>
      </c>
      <c r="C433" s="22">
        <f>IFERROR(__xludf.DUMMYFUNCTION("""COMPUTED_VALUE"""),220.58)</f>
        <v>220.58</v>
      </c>
      <c r="D433" s="22">
        <f>IFERROR(__xludf.DUMMYFUNCTION("""COMPUTED_VALUE"""),393.66)</f>
        <v>393.66</v>
      </c>
      <c r="E433" s="21">
        <f>IFERROR(__xludf.DUMMYFUNCTION("""COMPUTED_VALUE"""),152.70857142857145)</f>
        <v>152.7085714</v>
      </c>
      <c r="F433" s="21">
        <f>IFERROR(__xludf.DUMMYFUNCTION("""COMPUTED_VALUE"""),166.6514285714286)</f>
        <v>166.6514286</v>
      </c>
      <c r="G433" s="21">
        <f>IFERROR(__xludf.DUMMYFUNCTION("""COMPUTED_VALUE"""),356.29)</f>
        <v>356.29</v>
      </c>
    </row>
    <row r="434">
      <c r="A434" s="20">
        <f>IFERROR(__xludf.DUMMYFUNCTION("""COMPUTED_VALUE"""),44994.0)</f>
        <v>44994</v>
      </c>
      <c r="B434" s="21">
        <f>IFERROR(__xludf.DUMMYFUNCTION("""COMPUTED_VALUE"""),302.83)</f>
        <v>302.83</v>
      </c>
      <c r="C434" s="22">
        <f>IFERROR(__xludf.DUMMYFUNCTION("""COMPUTED_VALUE"""),220.58)</f>
        <v>220.58</v>
      </c>
      <c r="D434" s="22">
        <f>IFERROR(__xludf.DUMMYFUNCTION("""COMPUTED_VALUE"""),393.66)</f>
        <v>393.66</v>
      </c>
      <c r="E434" s="21">
        <f>IFERROR(__xludf.DUMMYFUNCTION("""COMPUTED_VALUE"""),147.61999999999998)</f>
        <v>147.62</v>
      </c>
      <c r="F434" s="21">
        <f>IFERROR(__xludf.DUMMYFUNCTION("""COMPUTED_VALUE"""),165.34857142857143)</f>
        <v>165.3485714</v>
      </c>
      <c r="G434" s="21">
        <f>IFERROR(__xludf.DUMMYFUNCTION("""COMPUTED_VALUE"""),356.29)</f>
        <v>356.29</v>
      </c>
    </row>
    <row r="435">
      <c r="A435" s="20">
        <f>IFERROR(__xludf.DUMMYFUNCTION("""COMPUTED_VALUE"""),44995.0)</f>
        <v>44995</v>
      </c>
      <c r="B435" s="21">
        <f>IFERROR(__xludf.DUMMYFUNCTION("""COMPUTED_VALUE"""),302.83)</f>
        <v>302.83</v>
      </c>
      <c r="C435" s="22">
        <f>IFERROR(__xludf.DUMMYFUNCTION("""COMPUTED_VALUE"""),220.58)</f>
        <v>220.58</v>
      </c>
      <c r="D435" s="22">
        <f>IFERROR(__xludf.DUMMYFUNCTION("""COMPUTED_VALUE"""),393.66)</f>
        <v>393.66</v>
      </c>
      <c r="E435" s="21">
        <f>IFERROR(__xludf.DUMMYFUNCTION("""COMPUTED_VALUE"""),141.82857142857142)</f>
        <v>141.8285714</v>
      </c>
      <c r="F435" s="21">
        <f>IFERROR(__xludf.DUMMYFUNCTION("""COMPUTED_VALUE"""),164.0457142857143)</f>
        <v>164.0457143</v>
      </c>
      <c r="G435" s="21">
        <f>IFERROR(__xludf.DUMMYFUNCTION("""COMPUTED_VALUE"""),356.29)</f>
        <v>356.29</v>
      </c>
    </row>
    <row r="436">
      <c r="A436" s="20">
        <f>IFERROR(__xludf.DUMMYFUNCTION("""COMPUTED_VALUE"""),44996.0)</f>
        <v>44996</v>
      </c>
      <c r="B436" s="21">
        <f>IFERROR(__xludf.DUMMYFUNCTION("""COMPUTED_VALUE"""),302.83)</f>
        <v>302.83</v>
      </c>
      <c r="C436" s="22">
        <f>IFERROR(__xludf.DUMMYFUNCTION("""COMPUTED_VALUE"""),220.58)</f>
        <v>220.58</v>
      </c>
      <c r="D436" s="22">
        <f>IFERROR(__xludf.DUMMYFUNCTION("""COMPUTED_VALUE"""),393.66)</f>
        <v>393.66</v>
      </c>
      <c r="E436" s="21">
        <f>IFERROR(__xludf.DUMMYFUNCTION("""COMPUTED_VALUE"""),138.90714285714287)</f>
        <v>138.9071429</v>
      </c>
      <c r="F436" s="21">
        <f>IFERROR(__xludf.DUMMYFUNCTION("""COMPUTED_VALUE"""),162.74285714285716)</f>
        <v>162.7428571</v>
      </c>
      <c r="G436" s="21">
        <f>IFERROR(__xludf.DUMMYFUNCTION("""COMPUTED_VALUE"""),356.29)</f>
        <v>356.29</v>
      </c>
    </row>
    <row r="437">
      <c r="A437" s="20">
        <f>IFERROR(__xludf.DUMMYFUNCTION("""COMPUTED_VALUE"""),44997.0)</f>
        <v>44997</v>
      </c>
      <c r="B437" s="21">
        <f>IFERROR(__xludf.DUMMYFUNCTION("""COMPUTED_VALUE"""),302.83)</f>
        <v>302.83</v>
      </c>
      <c r="C437" s="22">
        <f>IFERROR(__xludf.DUMMYFUNCTION("""COMPUTED_VALUE"""),220.58)</f>
        <v>220.58</v>
      </c>
      <c r="D437" s="22">
        <f>IFERROR(__xludf.DUMMYFUNCTION("""COMPUTED_VALUE"""),393.66)</f>
        <v>393.66</v>
      </c>
      <c r="E437" s="21">
        <f>IFERROR(__xludf.DUMMYFUNCTION("""COMPUTED_VALUE"""),136.39857142857142)</f>
        <v>136.3985714</v>
      </c>
      <c r="F437" s="21">
        <f>IFERROR(__xludf.DUMMYFUNCTION("""COMPUTED_VALUE"""),161.44000000000003)</f>
        <v>161.44</v>
      </c>
      <c r="G437" s="21">
        <f>IFERROR(__xludf.DUMMYFUNCTION("""COMPUTED_VALUE"""),356.29)</f>
        <v>356.29</v>
      </c>
    </row>
    <row r="438">
      <c r="A438" s="20">
        <f>IFERROR(__xludf.DUMMYFUNCTION("""COMPUTED_VALUE"""),44998.0)</f>
        <v>44998</v>
      </c>
      <c r="B438" s="21">
        <f>IFERROR(__xludf.DUMMYFUNCTION("""COMPUTED_VALUE"""),302.83)</f>
        <v>302.83</v>
      </c>
      <c r="C438" s="22">
        <f>IFERROR(__xludf.DUMMYFUNCTION("""COMPUTED_VALUE"""),220.58)</f>
        <v>220.58</v>
      </c>
      <c r="D438" s="22">
        <f>IFERROR(__xludf.DUMMYFUNCTION("""COMPUTED_VALUE"""),393.66)</f>
        <v>393.66</v>
      </c>
      <c r="E438" s="21">
        <f>IFERROR(__xludf.DUMMYFUNCTION("""COMPUTED_VALUE"""),136.40285714285716)</f>
        <v>136.4028571</v>
      </c>
      <c r="F438" s="21">
        <f>IFERROR(__xludf.DUMMYFUNCTION("""COMPUTED_VALUE"""),160.37071428571429)</f>
        <v>160.3707143</v>
      </c>
      <c r="G438" s="21">
        <f>IFERROR(__xludf.DUMMYFUNCTION("""COMPUTED_VALUE"""),356.29)</f>
        <v>356.29</v>
      </c>
    </row>
    <row r="439">
      <c r="A439" s="23">
        <f>IFERROR(__xludf.DUMMYFUNCTION("""COMPUTED_VALUE"""),44999.0)</f>
        <v>44999</v>
      </c>
      <c r="B439" s="21">
        <f>IFERROR(__xludf.DUMMYFUNCTION("""COMPUTED_VALUE"""),302.83)</f>
        <v>302.83</v>
      </c>
      <c r="C439" s="22">
        <f>IFERROR(__xludf.DUMMYFUNCTION("""COMPUTED_VALUE"""),220.58)</f>
        <v>220.58</v>
      </c>
      <c r="D439" s="22">
        <f>IFERROR(__xludf.DUMMYFUNCTION("""COMPUTED_VALUE"""),393.66)</f>
        <v>393.66</v>
      </c>
      <c r="E439" s="21">
        <f>IFERROR(__xludf.DUMMYFUNCTION("""COMPUTED_VALUE"""),133.39142857142858)</f>
        <v>133.3914286</v>
      </c>
      <c r="F439" s="21">
        <f>IFERROR(__xludf.DUMMYFUNCTION("""COMPUTED_VALUE"""),159.3014285714286)</f>
        <v>159.3014286</v>
      </c>
      <c r="G439" s="21">
        <f>IFERROR(__xludf.DUMMYFUNCTION("""COMPUTED_VALUE"""),356.29)</f>
        <v>356.29</v>
      </c>
    </row>
    <row r="440">
      <c r="A440" s="23">
        <f>IFERROR(__xludf.DUMMYFUNCTION("""COMPUTED_VALUE"""),45000.0)</f>
        <v>45000</v>
      </c>
      <c r="B440" s="21">
        <f>IFERROR(__xludf.DUMMYFUNCTION("""COMPUTED_VALUE"""),302.83)</f>
        <v>302.83</v>
      </c>
      <c r="C440" s="22">
        <f>IFERROR(__xludf.DUMMYFUNCTION("""COMPUTED_VALUE"""),220.58)</f>
        <v>220.58</v>
      </c>
      <c r="D440" s="22">
        <f>IFERROR(__xludf.DUMMYFUNCTION("""COMPUTED_VALUE"""),393.66)</f>
        <v>393.66</v>
      </c>
      <c r="E440" s="21">
        <f>IFERROR(__xludf.DUMMYFUNCTION("""COMPUTED_VALUE"""),134.07857142857142)</f>
        <v>134.0785714</v>
      </c>
      <c r="F440" s="21">
        <f>IFERROR(__xludf.DUMMYFUNCTION("""COMPUTED_VALUE"""),158.23214285714286)</f>
        <v>158.2321429</v>
      </c>
      <c r="G440" s="21">
        <f>IFERROR(__xludf.DUMMYFUNCTION("""COMPUTED_VALUE"""),356.29)</f>
        <v>356.29</v>
      </c>
    </row>
    <row r="441">
      <c r="A441" s="23">
        <f>IFERROR(__xludf.DUMMYFUNCTION("""COMPUTED_VALUE"""),45001.0)</f>
        <v>45001</v>
      </c>
      <c r="B441" s="21">
        <f>IFERROR(__xludf.DUMMYFUNCTION("""COMPUTED_VALUE"""),302.83)</f>
        <v>302.83</v>
      </c>
      <c r="C441" s="22">
        <f>IFERROR(__xludf.DUMMYFUNCTION("""COMPUTED_VALUE"""),220.58)</f>
        <v>220.58</v>
      </c>
      <c r="D441" s="22">
        <f>IFERROR(__xludf.DUMMYFUNCTION("""COMPUTED_VALUE"""),393.66)</f>
        <v>393.66</v>
      </c>
      <c r="E441" s="21">
        <f>IFERROR(__xludf.DUMMYFUNCTION("""COMPUTED_VALUE"""),133.36428571428573)</f>
        <v>133.3642857</v>
      </c>
      <c r="F441" s="21">
        <f>IFERROR(__xludf.DUMMYFUNCTION("""COMPUTED_VALUE"""),157.16285714285715)</f>
        <v>157.1628571</v>
      </c>
      <c r="G441" s="21">
        <f>IFERROR(__xludf.DUMMYFUNCTION("""COMPUTED_VALUE"""),356.29)</f>
        <v>356.29</v>
      </c>
    </row>
    <row r="442">
      <c r="A442" s="23">
        <f>IFERROR(__xludf.DUMMYFUNCTION("""COMPUTED_VALUE"""),45002.0)</f>
        <v>45002</v>
      </c>
      <c r="B442" s="21">
        <f>IFERROR(__xludf.DUMMYFUNCTION("""COMPUTED_VALUE"""),302.83)</f>
        <v>302.83</v>
      </c>
      <c r="C442" s="22">
        <f>IFERROR(__xludf.DUMMYFUNCTION("""COMPUTED_VALUE"""),220.58)</f>
        <v>220.58</v>
      </c>
      <c r="D442" s="22">
        <f>IFERROR(__xludf.DUMMYFUNCTION("""COMPUTED_VALUE"""),393.66)</f>
        <v>393.66</v>
      </c>
      <c r="E442" s="21">
        <f>IFERROR(__xludf.DUMMYFUNCTION("""COMPUTED_VALUE"""),133.4261147714286)</f>
        <v>133.4261148</v>
      </c>
      <c r="F442" s="21">
        <f>IFERROR(__xludf.DUMMYFUNCTION("""COMPUTED_VALUE"""),156.09357142857147)</f>
        <v>156.0935714</v>
      </c>
      <c r="G442" s="21">
        <f>IFERROR(__xludf.DUMMYFUNCTION("""COMPUTED_VALUE"""),356.29)</f>
        <v>356.29</v>
      </c>
    </row>
    <row r="443">
      <c r="A443" s="23">
        <f>IFERROR(__xludf.DUMMYFUNCTION("""COMPUTED_VALUE"""),45003.0)</f>
        <v>45003</v>
      </c>
      <c r="B443" s="21">
        <f>IFERROR(__xludf.DUMMYFUNCTION("""COMPUTED_VALUE"""),302.83)</f>
        <v>302.83</v>
      </c>
      <c r="C443" s="22">
        <f>IFERROR(__xludf.DUMMYFUNCTION("""COMPUTED_VALUE"""),220.58)</f>
        <v>220.58</v>
      </c>
      <c r="D443" s="22">
        <f>IFERROR(__xludf.DUMMYFUNCTION("""COMPUTED_VALUE"""),393.66)</f>
        <v>393.66</v>
      </c>
      <c r="E443" s="21">
        <f>IFERROR(__xludf.DUMMYFUNCTION("""COMPUTED_VALUE"""),134.9206388714286)</f>
        <v>134.9206389</v>
      </c>
      <c r="F443" s="21">
        <f>IFERROR(__xludf.DUMMYFUNCTION("""COMPUTED_VALUE"""),155.02428571428572)</f>
        <v>155.0242857</v>
      </c>
      <c r="G443" s="21">
        <f>IFERROR(__xludf.DUMMYFUNCTION("""COMPUTED_VALUE"""),356.29)</f>
        <v>356.29</v>
      </c>
    </row>
    <row r="444">
      <c r="A444" s="23">
        <f>IFERROR(__xludf.DUMMYFUNCTION("""COMPUTED_VALUE"""),45004.0)</f>
        <v>45004</v>
      </c>
      <c r="B444" s="21">
        <f>IFERROR(__xludf.DUMMYFUNCTION("""COMPUTED_VALUE"""),302.83)</f>
        <v>302.83</v>
      </c>
      <c r="C444" s="22">
        <f>IFERROR(__xludf.DUMMYFUNCTION("""COMPUTED_VALUE"""),220.58)</f>
        <v>220.58</v>
      </c>
      <c r="D444" s="22">
        <f>IFERROR(__xludf.DUMMYFUNCTION("""COMPUTED_VALUE"""),393.66)</f>
        <v>393.66</v>
      </c>
      <c r="E444" s="21">
        <f>IFERROR(__xludf.DUMMYFUNCTION("""COMPUTED_VALUE"""),135.0373427857143)</f>
        <v>135.0373428</v>
      </c>
      <c r="F444" s="21">
        <f>IFERROR(__xludf.DUMMYFUNCTION("""COMPUTED_VALUE"""),153.955)</f>
        <v>153.955</v>
      </c>
      <c r="G444" s="21">
        <f>IFERROR(__xludf.DUMMYFUNCTION("""COMPUTED_VALUE"""),356.29)</f>
        <v>356.29</v>
      </c>
    </row>
    <row r="445">
      <c r="A445" s="23">
        <f>IFERROR(__xludf.DUMMYFUNCTION("""COMPUTED_VALUE"""),45005.0)</f>
        <v>45005</v>
      </c>
      <c r="B445" s="21">
        <f>IFERROR(__xludf.DUMMYFUNCTION("""COMPUTED_VALUE"""),302.83)</f>
        <v>302.83</v>
      </c>
      <c r="C445" s="22">
        <f>IFERROR(__xludf.DUMMYFUNCTION("""COMPUTED_VALUE"""),220.58)</f>
        <v>220.58</v>
      </c>
      <c r="D445" s="22">
        <f>IFERROR(__xludf.DUMMYFUNCTION("""COMPUTED_VALUE"""),393.66)</f>
        <v>393.66</v>
      </c>
      <c r="E445" s="21">
        <f>IFERROR(__xludf.DUMMYFUNCTION("""COMPUTED_VALUE"""),133.6751336)</f>
        <v>133.6751336</v>
      </c>
      <c r="F445" s="21">
        <f>IFERROR(__xludf.DUMMYFUNCTION("""COMPUTED_VALUE"""),153.57250000000002)</f>
        <v>153.5725</v>
      </c>
      <c r="G445" s="21">
        <f>IFERROR(__xludf.DUMMYFUNCTION("""COMPUTED_VALUE"""),356.29)</f>
        <v>356.29</v>
      </c>
    </row>
    <row r="446">
      <c r="A446" s="23">
        <f>IFERROR(__xludf.DUMMYFUNCTION("""COMPUTED_VALUE"""),45006.0)</f>
        <v>45006</v>
      </c>
      <c r="B446" s="21">
        <f>IFERROR(__xludf.DUMMYFUNCTION("""COMPUTED_VALUE"""),302.83)</f>
        <v>302.83</v>
      </c>
      <c r="C446" s="22">
        <f>IFERROR(__xludf.DUMMYFUNCTION("""COMPUTED_VALUE"""),220.58)</f>
        <v>220.58</v>
      </c>
      <c r="D446" s="22">
        <f>IFERROR(__xludf.DUMMYFUNCTION("""COMPUTED_VALUE"""),393.66)</f>
        <v>393.66</v>
      </c>
      <c r="E446" s="21">
        <f>IFERROR(__xludf.DUMMYFUNCTION("""COMPUTED_VALUE"""),133.77343694285713)</f>
        <v>133.7734369</v>
      </c>
      <c r="F446" s="21">
        <f>IFERROR(__xludf.DUMMYFUNCTION("""COMPUTED_VALUE"""),153.19000000000003)</f>
        <v>153.19</v>
      </c>
      <c r="G446" s="21">
        <f>IFERROR(__xludf.DUMMYFUNCTION("""COMPUTED_VALUE"""),356.29)</f>
        <v>356.29</v>
      </c>
    </row>
    <row r="447">
      <c r="A447" s="23">
        <f>IFERROR(__xludf.DUMMYFUNCTION("""COMPUTED_VALUE"""),45007.0)</f>
        <v>45007</v>
      </c>
      <c r="B447" s="21">
        <f>IFERROR(__xludf.DUMMYFUNCTION("""COMPUTED_VALUE"""),302.83)</f>
        <v>302.83</v>
      </c>
      <c r="C447" s="22">
        <f>IFERROR(__xludf.DUMMYFUNCTION("""COMPUTED_VALUE"""),220.58)</f>
        <v>220.58</v>
      </c>
      <c r="D447" s="22">
        <f>IFERROR(__xludf.DUMMYFUNCTION("""COMPUTED_VALUE"""),393.66)</f>
        <v>393.66</v>
      </c>
      <c r="E447" s="21">
        <f>IFERROR(__xludf.DUMMYFUNCTION("""COMPUTED_VALUE"""),132.4909363)</f>
        <v>132.4909363</v>
      </c>
      <c r="F447" s="21">
        <f>IFERROR(__xludf.DUMMYFUNCTION("""COMPUTED_VALUE"""),152.80750000000003)</f>
        <v>152.8075</v>
      </c>
      <c r="G447" s="21">
        <f>IFERROR(__xludf.DUMMYFUNCTION("""COMPUTED_VALUE"""),356.29)</f>
        <v>356.29</v>
      </c>
    </row>
    <row r="448">
      <c r="A448" s="23">
        <f>IFERROR(__xludf.DUMMYFUNCTION("""COMPUTED_VALUE"""),45008.0)</f>
        <v>45008</v>
      </c>
      <c r="B448" s="21">
        <f>IFERROR(__xludf.DUMMYFUNCTION("""COMPUTED_VALUE"""),302.83)</f>
        <v>302.83</v>
      </c>
      <c r="C448" s="22">
        <f>IFERROR(__xludf.DUMMYFUNCTION("""COMPUTED_VALUE"""),220.58)</f>
        <v>220.58</v>
      </c>
      <c r="D448" s="22">
        <f>IFERROR(__xludf.DUMMYFUNCTION("""COMPUTED_VALUE"""),393.66)</f>
        <v>393.66</v>
      </c>
      <c r="E448" s="21">
        <f>IFERROR(__xludf.DUMMYFUNCTION("""COMPUTED_VALUE"""),134.59763521428573)</f>
        <v>134.5976352</v>
      </c>
      <c r="F448" s="21">
        <f>IFERROR(__xludf.DUMMYFUNCTION("""COMPUTED_VALUE"""),152.425)</f>
        <v>152.425</v>
      </c>
      <c r="G448" s="21">
        <f>IFERROR(__xludf.DUMMYFUNCTION("""COMPUTED_VALUE"""),356.29)</f>
        <v>356.29</v>
      </c>
    </row>
    <row r="449">
      <c r="A449" s="23">
        <f>IFERROR(__xludf.DUMMYFUNCTION("""COMPUTED_VALUE"""),45009.0)</f>
        <v>45009</v>
      </c>
      <c r="B449" s="21">
        <f>IFERROR(__xludf.DUMMYFUNCTION("""COMPUTED_VALUE"""),302.83)</f>
        <v>302.83</v>
      </c>
      <c r="C449" s="22">
        <f>IFERROR(__xludf.DUMMYFUNCTION("""COMPUTED_VALUE"""),220.58)</f>
        <v>220.58</v>
      </c>
      <c r="D449" s="22">
        <f>IFERROR(__xludf.DUMMYFUNCTION("""COMPUTED_VALUE"""),393.66)</f>
        <v>393.66</v>
      </c>
      <c r="E449" s="21">
        <f>IFERROR(__xludf.DUMMYFUNCTION("""COMPUTED_VALUE"""),135.08593772857145)</f>
        <v>135.0859377</v>
      </c>
      <c r="F449" s="21">
        <f>IFERROR(__xludf.DUMMYFUNCTION("""COMPUTED_VALUE"""),152.04250000000002)</f>
        <v>152.0425</v>
      </c>
      <c r="G449" s="21">
        <f>IFERROR(__xludf.DUMMYFUNCTION("""COMPUTED_VALUE"""),356.29)</f>
        <v>356.29</v>
      </c>
    </row>
    <row r="450">
      <c r="A450" s="23">
        <f>IFERROR(__xludf.DUMMYFUNCTION("""COMPUTED_VALUE"""),45010.0)</f>
        <v>45010</v>
      </c>
      <c r="B450" s="21">
        <f>IFERROR(__xludf.DUMMYFUNCTION("""COMPUTED_VALUE"""),302.83)</f>
        <v>302.83</v>
      </c>
      <c r="C450" s="22">
        <f>IFERROR(__xludf.DUMMYFUNCTION("""COMPUTED_VALUE"""),220.58)</f>
        <v>220.58</v>
      </c>
      <c r="D450" s="22">
        <f>IFERROR(__xludf.DUMMYFUNCTION("""COMPUTED_VALUE"""),393.66)</f>
        <v>393.66</v>
      </c>
      <c r="E450" s="21">
        <f>IFERROR(__xludf.DUMMYFUNCTION("""COMPUTED_VALUE"""),130.29456301428573)</f>
        <v>130.294563</v>
      </c>
      <c r="F450" s="21">
        <f>IFERROR(__xludf.DUMMYFUNCTION("""COMPUTED_VALUE"""),151.66000000000003)</f>
        <v>151.66</v>
      </c>
      <c r="G450" s="21">
        <f>IFERROR(__xludf.DUMMYFUNCTION("""COMPUTED_VALUE"""),356.29)</f>
        <v>356.29</v>
      </c>
    </row>
    <row r="451">
      <c r="A451" s="23">
        <f>IFERROR(__xludf.DUMMYFUNCTION("""COMPUTED_VALUE"""),45011.0)</f>
        <v>45011</v>
      </c>
      <c r="B451" s="21">
        <f>IFERROR(__xludf.DUMMYFUNCTION("""COMPUTED_VALUE"""),302.83)</f>
        <v>302.83</v>
      </c>
      <c r="C451" s="22">
        <f>IFERROR(__xludf.DUMMYFUNCTION("""COMPUTED_VALUE"""),220.58)</f>
        <v>220.58</v>
      </c>
      <c r="D451" s="22">
        <f>IFERROR(__xludf.DUMMYFUNCTION("""COMPUTED_VALUE"""),393.66)</f>
        <v>393.66</v>
      </c>
      <c r="E451" s="21">
        <f>IFERROR(__xludf.DUMMYFUNCTION("""COMPUTED_VALUE"""),128.13689730000002)</f>
        <v>128.1368973</v>
      </c>
      <c r="F451" s="21">
        <f>IFERROR(__xludf.DUMMYFUNCTION("""COMPUTED_VALUE"""),151.2775)</f>
        <v>151.2775</v>
      </c>
      <c r="G451" s="21">
        <f>IFERROR(__xludf.DUMMYFUNCTION("""COMPUTED_VALUE"""),356.29)</f>
        <v>356.29</v>
      </c>
    </row>
    <row r="452">
      <c r="A452" s="23">
        <f>IFERROR(__xludf.DUMMYFUNCTION("""COMPUTED_VALUE"""),45012.0)</f>
        <v>45012</v>
      </c>
      <c r="B452" s="21">
        <f>IFERROR(__xludf.DUMMYFUNCTION("""COMPUTED_VALUE"""),265.87)</f>
        <v>265.87</v>
      </c>
      <c r="C452" s="22">
        <f>IFERROR(__xludf.DUMMYFUNCTION("""COMPUTED_VALUE"""),190.09)</f>
        <v>190.09</v>
      </c>
      <c r="D452" s="22">
        <f>IFERROR(__xludf.DUMMYFUNCTION("""COMPUTED_VALUE"""),393.66)</f>
        <v>393.66</v>
      </c>
      <c r="E452" s="21">
        <f>IFERROR(__xludf.DUMMYFUNCTION("""COMPUTED_VALUE"""),128.80422277142858)</f>
        <v>128.8042228</v>
      </c>
      <c r="F452" s="21">
        <f>IFERROR(__xludf.DUMMYFUNCTION("""COMPUTED_VALUE"""),151.02142857142857)</f>
        <v>151.0214286</v>
      </c>
      <c r="G452" s="21">
        <f>IFERROR(__xludf.DUMMYFUNCTION("""COMPUTED_VALUE"""),356.29)</f>
        <v>356.29</v>
      </c>
    </row>
    <row r="453">
      <c r="A453" s="23">
        <f>IFERROR(__xludf.DUMMYFUNCTION("""COMPUTED_VALUE"""),45013.0)</f>
        <v>45013</v>
      </c>
      <c r="B453" s="21">
        <f>IFERROR(__xludf.DUMMYFUNCTION("""COMPUTED_VALUE"""),265.87)</f>
        <v>265.87</v>
      </c>
      <c r="C453" s="22">
        <f>IFERROR(__xludf.DUMMYFUNCTION("""COMPUTED_VALUE"""),190.09)</f>
        <v>190.09</v>
      </c>
      <c r="D453" s="22">
        <f>IFERROR(__xludf.DUMMYFUNCTION("""COMPUTED_VALUE"""),393.66)</f>
        <v>393.66</v>
      </c>
      <c r="E453" s="21">
        <f>IFERROR(__xludf.DUMMYFUNCTION("""COMPUTED_VALUE"""),126.81591942857142)</f>
        <v>126.8159194</v>
      </c>
      <c r="F453" s="21">
        <f>IFERROR(__xludf.DUMMYFUNCTION("""COMPUTED_VALUE"""),150.76535714285714)</f>
        <v>150.7653571</v>
      </c>
      <c r="G453" s="21">
        <f>IFERROR(__xludf.DUMMYFUNCTION("""COMPUTED_VALUE"""),356.29)</f>
        <v>356.29</v>
      </c>
    </row>
    <row r="454">
      <c r="A454" s="23">
        <f>IFERROR(__xludf.DUMMYFUNCTION("""COMPUTED_VALUE"""),45014.0)</f>
        <v>45014</v>
      </c>
      <c r="B454" s="21">
        <f>IFERROR(__xludf.DUMMYFUNCTION("""COMPUTED_VALUE"""),265.87)</f>
        <v>265.87</v>
      </c>
      <c r="C454" s="22">
        <f>IFERROR(__xludf.DUMMYFUNCTION("""COMPUTED_VALUE"""),190.09)</f>
        <v>190.09</v>
      </c>
      <c r="D454" s="22">
        <f>IFERROR(__xludf.DUMMYFUNCTION("""COMPUTED_VALUE"""),393.66)</f>
        <v>393.66</v>
      </c>
      <c r="E454" s="21">
        <f>IFERROR(__xludf.DUMMYFUNCTION("""COMPUTED_VALUE"""),127.35842007142855)</f>
        <v>127.3584201</v>
      </c>
      <c r="F454" s="21">
        <f>IFERROR(__xludf.DUMMYFUNCTION("""COMPUTED_VALUE"""),150.5092857142857)</f>
        <v>150.5092857</v>
      </c>
      <c r="G454" s="21">
        <f>IFERROR(__xludf.DUMMYFUNCTION("""COMPUTED_VALUE"""),356.29)</f>
        <v>356.29</v>
      </c>
    </row>
    <row r="455">
      <c r="A455" s="23">
        <f>IFERROR(__xludf.DUMMYFUNCTION("""COMPUTED_VALUE"""),45015.0)</f>
        <v>45015</v>
      </c>
      <c r="B455" s="21">
        <f>IFERROR(__xludf.DUMMYFUNCTION("""COMPUTED_VALUE"""),265.87)</f>
        <v>265.87</v>
      </c>
      <c r="C455" s="22">
        <f>IFERROR(__xludf.DUMMYFUNCTION("""COMPUTED_VALUE"""),190.09)</f>
        <v>190.09</v>
      </c>
      <c r="D455" s="22">
        <f>IFERROR(__xludf.DUMMYFUNCTION("""COMPUTED_VALUE"""),393.66)</f>
        <v>393.66</v>
      </c>
      <c r="E455" s="21">
        <f>IFERROR(__xludf.DUMMYFUNCTION("""COMPUTED_VALUE"""),129.38743544285714)</f>
        <v>129.3874354</v>
      </c>
      <c r="F455" s="21">
        <f>IFERROR(__xludf.DUMMYFUNCTION("""COMPUTED_VALUE"""),150.25321428571428)</f>
        <v>150.2532143</v>
      </c>
      <c r="G455" s="21">
        <f>IFERROR(__xludf.DUMMYFUNCTION("""COMPUTED_VALUE"""),356.29)</f>
        <v>356.29</v>
      </c>
    </row>
    <row r="456">
      <c r="A456" s="23">
        <f>IFERROR(__xludf.DUMMYFUNCTION("""COMPUTED_VALUE"""),45016.0)</f>
        <v>45016</v>
      </c>
      <c r="B456" s="21">
        <f>IFERROR(__xludf.DUMMYFUNCTION("""COMPUTED_VALUE"""),265.87)</f>
        <v>265.87</v>
      </c>
      <c r="C456" s="22">
        <f>IFERROR(__xludf.DUMMYFUNCTION("""COMPUTED_VALUE"""),190.09)</f>
        <v>190.09</v>
      </c>
      <c r="D456" s="22">
        <f>IFERROR(__xludf.DUMMYFUNCTION("""COMPUTED_VALUE"""),393.66)</f>
        <v>393.66</v>
      </c>
      <c r="E456" s="21">
        <f>IFERROR(__xludf.DUMMYFUNCTION("""COMPUTED_VALUE"""),129.74301815714287)</f>
        <v>129.7430182</v>
      </c>
      <c r="F456" s="21">
        <f>IFERROR(__xludf.DUMMYFUNCTION("""COMPUTED_VALUE"""),149.99714285714285)</f>
        <v>149.9971429</v>
      </c>
      <c r="G456" s="21">
        <f>IFERROR(__xludf.DUMMYFUNCTION("""COMPUTED_VALUE"""),356.29)</f>
        <v>356.29</v>
      </c>
    </row>
    <row r="457">
      <c r="A457" s="23">
        <f>IFERROR(__xludf.DUMMYFUNCTION("""COMPUTED_VALUE"""),45017.0)</f>
        <v>45017</v>
      </c>
      <c r="B457" s="21">
        <f>IFERROR(__xludf.DUMMYFUNCTION("""COMPUTED_VALUE"""),265.87)</f>
        <v>265.87</v>
      </c>
      <c r="C457" s="22">
        <f>IFERROR(__xludf.DUMMYFUNCTION("""COMPUTED_VALUE"""),190.09)</f>
        <v>190.09</v>
      </c>
      <c r="D457" s="22">
        <f>IFERROR(__xludf.DUMMYFUNCTION("""COMPUTED_VALUE"""),393.66)</f>
        <v>393.66</v>
      </c>
      <c r="E457" s="21">
        <f>IFERROR(__xludf.DUMMYFUNCTION("""COMPUTED_VALUE"""),131.05986877142854)</f>
        <v>131.0598688</v>
      </c>
      <c r="F457" s="21">
        <f>IFERROR(__xludf.DUMMYFUNCTION("""COMPUTED_VALUE"""),149.74107142857142)</f>
        <v>149.7410714</v>
      </c>
      <c r="G457" s="21">
        <f>IFERROR(__xludf.DUMMYFUNCTION("""COMPUTED_VALUE"""),91.98)</f>
        <v>91.98</v>
      </c>
    </row>
    <row r="458">
      <c r="A458" s="20">
        <f>IFERROR(__xludf.DUMMYFUNCTION("""COMPUTED_VALUE"""),45018.0)</f>
        <v>45018</v>
      </c>
      <c r="B458" s="21">
        <f>IFERROR(__xludf.DUMMYFUNCTION("""COMPUTED_VALUE"""),265.87)</f>
        <v>265.87</v>
      </c>
      <c r="C458" s="22">
        <f>IFERROR(__xludf.DUMMYFUNCTION("""COMPUTED_VALUE"""),190.09)</f>
        <v>190.09</v>
      </c>
      <c r="D458" s="22">
        <f>IFERROR(__xludf.DUMMYFUNCTION("""COMPUTED_VALUE"""),393.66)</f>
        <v>393.66</v>
      </c>
      <c r="E458" s="21">
        <f>IFERROR(__xludf.DUMMYFUNCTION("""COMPUTED_VALUE"""),135.15940199999997)</f>
        <v>135.159402</v>
      </c>
      <c r="F458" s="21">
        <f>IFERROR(__xludf.DUMMYFUNCTION("""COMPUTED_VALUE"""),149.48499999999999)</f>
        <v>149.485</v>
      </c>
      <c r="G458" s="21">
        <f>IFERROR(__xludf.DUMMYFUNCTION("""COMPUTED_VALUE"""),91.98)</f>
        <v>91.98</v>
      </c>
    </row>
    <row r="459">
      <c r="A459" s="20">
        <f>IFERROR(__xludf.DUMMYFUNCTION("""COMPUTED_VALUE"""),45019.0)</f>
        <v>45019</v>
      </c>
      <c r="B459" s="21">
        <f>IFERROR(__xludf.DUMMYFUNCTION("""COMPUTED_VALUE"""),265.87)</f>
        <v>265.87</v>
      </c>
      <c r="C459" s="22">
        <f>IFERROR(__xludf.DUMMYFUNCTION("""COMPUTED_VALUE"""),190.09)</f>
        <v>190.09</v>
      </c>
      <c r="D459" s="22">
        <f>IFERROR(__xludf.DUMMYFUNCTION("""COMPUTED_VALUE"""),393.66)</f>
        <v>393.66</v>
      </c>
      <c r="E459" s="21">
        <f>IFERROR(__xludf.DUMMYFUNCTION("""COMPUTED_VALUE"""),135.19142857142856)</f>
        <v>135.1914286</v>
      </c>
      <c r="F459" s="21">
        <f>IFERROR(__xludf.DUMMYFUNCTION("""COMPUTED_VALUE"""),150.0225)</f>
        <v>150.0225</v>
      </c>
      <c r="G459" s="21">
        <f>IFERROR(__xludf.DUMMYFUNCTION("""COMPUTED_VALUE"""),91.98)</f>
        <v>91.98</v>
      </c>
    </row>
    <row r="460">
      <c r="A460" s="20">
        <f>IFERROR(__xludf.DUMMYFUNCTION("""COMPUTED_VALUE"""),45020.0)</f>
        <v>45020</v>
      </c>
      <c r="B460" s="21">
        <f>IFERROR(__xludf.DUMMYFUNCTION("""COMPUTED_VALUE"""),265.87)</f>
        <v>265.87</v>
      </c>
      <c r="C460" s="22">
        <f>IFERROR(__xludf.DUMMYFUNCTION("""COMPUTED_VALUE"""),190.09)</f>
        <v>190.09</v>
      </c>
      <c r="D460" s="22">
        <f>IFERROR(__xludf.DUMMYFUNCTION("""COMPUTED_VALUE"""),393.66)</f>
        <v>393.66</v>
      </c>
      <c r="E460" s="21">
        <f>IFERROR(__xludf.DUMMYFUNCTION("""COMPUTED_VALUE"""),139.33428571428573)</f>
        <v>139.3342857</v>
      </c>
      <c r="F460" s="21">
        <f>IFERROR(__xludf.DUMMYFUNCTION("""COMPUTED_VALUE"""),150.56)</f>
        <v>150.56</v>
      </c>
      <c r="G460" s="21">
        <f>IFERROR(__xludf.DUMMYFUNCTION("""COMPUTED_VALUE"""),91.98)</f>
        <v>91.98</v>
      </c>
    </row>
    <row r="461">
      <c r="A461" s="20">
        <f>IFERROR(__xludf.DUMMYFUNCTION("""COMPUTED_VALUE"""),45021.0)</f>
        <v>45021</v>
      </c>
      <c r="B461" s="21">
        <f>IFERROR(__xludf.DUMMYFUNCTION("""COMPUTED_VALUE"""),265.87)</f>
        <v>265.87</v>
      </c>
      <c r="C461" s="22">
        <f>IFERROR(__xludf.DUMMYFUNCTION("""COMPUTED_VALUE"""),190.09)</f>
        <v>190.09</v>
      </c>
      <c r="D461" s="22">
        <f>IFERROR(__xludf.DUMMYFUNCTION("""COMPUTED_VALUE"""),393.66)</f>
        <v>393.66</v>
      </c>
      <c r="E461" s="21">
        <f>IFERROR(__xludf.DUMMYFUNCTION("""COMPUTED_VALUE"""),144.61142857142858)</f>
        <v>144.6114286</v>
      </c>
      <c r="F461" s="21">
        <f>IFERROR(__xludf.DUMMYFUNCTION("""COMPUTED_VALUE"""),151.0975)</f>
        <v>151.0975</v>
      </c>
      <c r="G461" s="21">
        <f>IFERROR(__xludf.DUMMYFUNCTION("""COMPUTED_VALUE"""),91.98)</f>
        <v>91.98</v>
      </c>
    </row>
    <row r="462">
      <c r="A462" s="20">
        <f>IFERROR(__xludf.DUMMYFUNCTION("""COMPUTED_VALUE"""),45022.0)</f>
        <v>45022</v>
      </c>
      <c r="B462" s="21">
        <f>IFERROR(__xludf.DUMMYFUNCTION("""COMPUTED_VALUE"""),265.87)</f>
        <v>265.87</v>
      </c>
      <c r="C462" s="22">
        <f>IFERROR(__xludf.DUMMYFUNCTION("""COMPUTED_VALUE"""),190.09)</f>
        <v>190.09</v>
      </c>
      <c r="D462" s="22">
        <f>IFERROR(__xludf.DUMMYFUNCTION("""COMPUTED_VALUE"""),393.66)</f>
        <v>393.66</v>
      </c>
      <c r="E462" s="21">
        <f>IFERROR(__xludf.DUMMYFUNCTION("""COMPUTED_VALUE"""),143.8814285714286)</f>
        <v>143.8814286</v>
      </c>
      <c r="F462" s="21">
        <f>IFERROR(__xludf.DUMMYFUNCTION("""COMPUTED_VALUE"""),151.635)</f>
        <v>151.635</v>
      </c>
      <c r="G462" s="21">
        <f>IFERROR(__xludf.DUMMYFUNCTION("""COMPUTED_VALUE"""),91.98)</f>
        <v>91.98</v>
      </c>
    </row>
    <row r="463">
      <c r="A463" s="20">
        <f>IFERROR(__xludf.DUMMYFUNCTION("""COMPUTED_VALUE"""),45023.0)</f>
        <v>45023</v>
      </c>
      <c r="B463" s="21">
        <f>IFERROR(__xludf.DUMMYFUNCTION("""COMPUTED_VALUE"""),265.87)</f>
        <v>265.87</v>
      </c>
      <c r="C463" s="22">
        <f>IFERROR(__xludf.DUMMYFUNCTION("""COMPUTED_VALUE"""),190.09)</f>
        <v>190.09</v>
      </c>
      <c r="D463" s="22">
        <f>IFERROR(__xludf.DUMMYFUNCTION("""COMPUTED_VALUE"""),393.66)</f>
        <v>393.66</v>
      </c>
      <c r="E463" s="21">
        <f>IFERROR(__xludf.DUMMYFUNCTION("""COMPUTED_VALUE"""),146.19)</f>
        <v>146.19</v>
      </c>
      <c r="F463" s="21">
        <f>IFERROR(__xludf.DUMMYFUNCTION("""COMPUTED_VALUE"""),152.17249999999999)</f>
        <v>152.1725</v>
      </c>
      <c r="G463" s="21">
        <f>IFERROR(__xludf.DUMMYFUNCTION("""COMPUTED_VALUE"""),91.98)</f>
        <v>91.98</v>
      </c>
    </row>
    <row r="464">
      <c r="A464" s="20">
        <f>IFERROR(__xludf.DUMMYFUNCTION("""COMPUTED_VALUE"""),45024.0)</f>
        <v>45024</v>
      </c>
      <c r="B464" s="21">
        <f>IFERROR(__xludf.DUMMYFUNCTION("""COMPUTED_VALUE"""),265.87)</f>
        <v>265.87</v>
      </c>
      <c r="C464" s="22">
        <f>IFERROR(__xludf.DUMMYFUNCTION("""COMPUTED_VALUE"""),190.09)</f>
        <v>190.09</v>
      </c>
      <c r="D464" s="22">
        <f>IFERROR(__xludf.DUMMYFUNCTION("""COMPUTED_VALUE"""),393.66)</f>
        <v>393.66</v>
      </c>
      <c r="E464" s="21">
        <f>IFERROR(__xludf.DUMMYFUNCTION("""COMPUTED_VALUE"""),149.39285714285714)</f>
        <v>149.3928571</v>
      </c>
      <c r="F464" s="21">
        <f>IFERROR(__xludf.DUMMYFUNCTION("""COMPUTED_VALUE"""),152.70999999999998)</f>
        <v>152.71</v>
      </c>
      <c r="G464" s="21">
        <f>IFERROR(__xludf.DUMMYFUNCTION("""COMPUTED_VALUE"""),91.98)</f>
        <v>91.98</v>
      </c>
    </row>
    <row r="465">
      <c r="A465" s="20">
        <f>IFERROR(__xludf.DUMMYFUNCTION("""COMPUTED_VALUE"""),45025.0)</f>
        <v>45025</v>
      </c>
      <c r="B465" s="21">
        <f>IFERROR(__xludf.DUMMYFUNCTION("""COMPUTED_VALUE"""),265.87)</f>
        <v>265.87</v>
      </c>
      <c r="C465" s="22">
        <f>IFERROR(__xludf.DUMMYFUNCTION("""COMPUTED_VALUE"""),190.09)</f>
        <v>190.09</v>
      </c>
      <c r="D465" s="22">
        <f>IFERROR(__xludf.DUMMYFUNCTION("""COMPUTED_VALUE"""),393.66)</f>
        <v>393.66</v>
      </c>
      <c r="E465" s="21">
        <f>IFERROR(__xludf.DUMMYFUNCTION("""COMPUTED_VALUE"""),153.13142857142856)</f>
        <v>153.1314286</v>
      </c>
      <c r="F465" s="21">
        <f>IFERROR(__xludf.DUMMYFUNCTION("""COMPUTED_VALUE"""),153.24749999999997)</f>
        <v>153.2475</v>
      </c>
      <c r="G465" s="21">
        <f>IFERROR(__xludf.DUMMYFUNCTION("""COMPUTED_VALUE"""),91.98)</f>
        <v>91.98</v>
      </c>
    </row>
    <row r="466">
      <c r="A466" s="20">
        <f>IFERROR(__xludf.DUMMYFUNCTION("""COMPUTED_VALUE"""),45026.0)</f>
        <v>45026</v>
      </c>
      <c r="B466" s="21">
        <f>IFERROR(__xludf.DUMMYFUNCTION("""COMPUTED_VALUE"""),239.27)</f>
        <v>239.27</v>
      </c>
      <c r="C466" s="22">
        <f>IFERROR(__xludf.DUMMYFUNCTION("""COMPUTED_VALUE"""),183.28)</f>
        <v>183.28</v>
      </c>
      <c r="D466" s="22">
        <f>IFERROR(__xludf.DUMMYFUNCTION("""COMPUTED_VALUE"""),367.82)</f>
        <v>367.82</v>
      </c>
      <c r="E466" s="21">
        <f>IFERROR(__xludf.DUMMYFUNCTION("""COMPUTED_VALUE"""),146.99142857142857)</f>
        <v>146.9914286</v>
      </c>
      <c r="F466" s="21">
        <f>IFERROR(__xludf.DUMMYFUNCTION("""COMPUTED_VALUE"""),154.52214285714285)</f>
        <v>154.5221429</v>
      </c>
      <c r="G466" s="21">
        <f>IFERROR(__xludf.DUMMYFUNCTION("""COMPUTED_VALUE"""),91.98)</f>
        <v>91.98</v>
      </c>
    </row>
    <row r="467">
      <c r="A467" s="20">
        <f>IFERROR(__xludf.DUMMYFUNCTION("""COMPUTED_VALUE"""),45027.0)</f>
        <v>45027</v>
      </c>
      <c r="B467" s="21">
        <f>IFERROR(__xludf.DUMMYFUNCTION("""COMPUTED_VALUE"""),239.27)</f>
        <v>239.27</v>
      </c>
      <c r="C467" s="22">
        <f>IFERROR(__xludf.DUMMYFUNCTION("""COMPUTED_VALUE"""),183.28)</f>
        <v>183.28</v>
      </c>
      <c r="D467" s="22">
        <f>IFERROR(__xludf.DUMMYFUNCTION("""COMPUTED_VALUE"""),367.82)</f>
        <v>367.82</v>
      </c>
      <c r="E467" s="21">
        <f>IFERROR(__xludf.DUMMYFUNCTION("""COMPUTED_VALUE"""),145.23714285714286)</f>
        <v>145.2371429</v>
      </c>
      <c r="F467" s="21">
        <f>IFERROR(__xludf.DUMMYFUNCTION("""COMPUTED_VALUE"""),155.7967857142857)</f>
        <v>155.7967857</v>
      </c>
      <c r="G467" s="21">
        <f>IFERROR(__xludf.DUMMYFUNCTION("""COMPUTED_VALUE"""),91.98)</f>
        <v>91.98</v>
      </c>
    </row>
    <row r="468">
      <c r="A468" s="20">
        <f>IFERROR(__xludf.DUMMYFUNCTION("""COMPUTED_VALUE"""),45028.0)</f>
        <v>45028</v>
      </c>
      <c r="B468" s="21">
        <f>IFERROR(__xludf.DUMMYFUNCTION("""COMPUTED_VALUE"""),239.27)</f>
        <v>239.27</v>
      </c>
      <c r="C468" s="22">
        <f>IFERROR(__xludf.DUMMYFUNCTION("""COMPUTED_VALUE"""),183.28)</f>
        <v>183.28</v>
      </c>
      <c r="D468" s="22">
        <f>IFERROR(__xludf.DUMMYFUNCTION("""COMPUTED_VALUE"""),367.82)</f>
        <v>367.82</v>
      </c>
      <c r="E468" s="21">
        <f>IFERROR(__xludf.DUMMYFUNCTION("""COMPUTED_VALUE"""),142.73857142857145)</f>
        <v>142.7385714</v>
      </c>
      <c r="F468" s="21">
        <f>IFERROR(__xludf.DUMMYFUNCTION("""COMPUTED_VALUE"""),157.07142857142858)</f>
        <v>157.0714286</v>
      </c>
      <c r="G468" s="21">
        <f>IFERROR(__xludf.DUMMYFUNCTION("""COMPUTED_VALUE"""),91.98)</f>
        <v>91.98</v>
      </c>
    </row>
    <row r="469">
      <c r="A469" s="20">
        <f>IFERROR(__xludf.DUMMYFUNCTION("""COMPUTED_VALUE"""),45029.0)</f>
        <v>45029</v>
      </c>
      <c r="B469" s="21">
        <f>IFERROR(__xludf.DUMMYFUNCTION("""COMPUTED_VALUE"""),239.27)</f>
        <v>239.27</v>
      </c>
      <c r="C469" s="22">
        <f>IFERROR(__xludf.DUMMYFUNCTION("""COMPUTED_VALUE"""),183.28)</f>
        <v>183.28</v>
      </c>
      <c r="D469" s="22">
        <f>IFERROR(__xludf.DUMMYFUNCTION("""COMPUTED_VALUE"""),367.82)</f>
        <v>367.82</v>
      </c>
      <c r="E469" s="21">
        <f>IFERROR(__xludf.DUMMYFUNCTION("""COMPUTED_VALUE"""),141.81285714285715)</f>
        <v>141.8128571</v>
      </c>
      <c r="F469" s="21">
        <f>IFERROR(__xludf.DUMMYFUNCTION("""COMPUTED_VALUE"""),158.3460714285714)</f>
        <v>158.3460714</v>
      </c>
      <c r="G469" s="21">
        <f>IFERROR(__xludf.DUMMYFUNCTION("""COMPUTED_VALUE"""),91.98)</f>
        <v>91.98</v>
      </c>
    </row>
    <row r="470">
      <c r="A470" s="23">
        <f>IFERROR(__xludf.DUMMYFUNCTION("""COMPUTED_VALUE"""),45030.0)</f>
        <v>45030</v>
      </c>
      <c r="B470" s="21">
        <f>IFERROR(__xludf.DUMMYFUNCTION("""COMPUTED_VALUE"""),239.27)</f>
        <v>239.27</v>
      </c>
      <c r="C470" s="22">
        <f>IFERROR(__xludf.DUMMYFUNCTION("""COMPUTED_VALUE"""),183.28)</f>
        <v>183.28</v>
      </c>
      <c r="D470" s="22">
        <f>IFERROR(__xludf.DUMMYFUNCTION("""COMPUTED_VALUE"""),367.82)</f>
        <v>367.82</v>
      </c>
      <c r="E470" s="21">
        <f>IFERROR(__xludf.DUMMYFUNCTION("""COMPUTED_VALUE"""),141.52)</f>
        <v>141.52</v>
      </c>
      <c r="F470" s="21">
        <f>IFERROR(__xludf.DUMMYFUNCTION("""COMPUTED_VALUE"""),159.62071428571426)</f>
        <v>159.6207143</v>
      </c>
      <c r="G470" s="21">
        <f>IFERROR(__xludf.DUMMYFUNCTION("""COMPUTED_VALUE"""),91.98)</f>
        <v>91.98</v>
      </c>
    </row>
    <row r="471">
      <c r="A471" s="23">
        <f>IFERROR(__xludf.DUMMYFUNCTION("""COMPUTED_VALUE"""),45031.0)</f>
        <v>45031</v>
      </c>
      <c r="B471" s="21">
        <f>IFERROR(__xludf.DUMMYFUNCTION("""COMPUTED_VALUE"""),239.27)</f>
        <v>239.27</v>
      </c>
      <c r="C471" s="22">
        <f>IFERROR(__xludf.DUMMYFUNCTION("""COMPUTED_VALUE"""),183.28)</f>
        <v>183.28</v>
      </c>
      <c r="D471" s="22">
        <f>IFERROR(__xludf.DUMMYFUNCTION("""COMPUTED_VALUE"""),367.82)</f>
        <v>367.82</v>
      </c>
      <c r="E471" s="21">
        <f>IFERROR(__xludf.DUMMYFUNCTION("""COMPUTED_VALUE"""),141.49285714285716)</f>
        <v>141.4928571</v>
      </c>
      <c r="F471" s="21">
        <f>IFERROR(__xludf.DUMMYFUNCTION("""COMPUTED_VALUE"""),160.89535714285714)</f>
        <v>160.8953571</v>
      </c>
      <c r="G471" s="21">
        <f>IFERROR(__xludf.DUMMYFUNCTION("""COMPUTED_VALUE"""),91.98)</f>
        <v>91.98</v>
      </c>
    </row>
    <row r="472">
      <c r="A472" s="23">
        <f>IFERROR(__xludf.DUMMYFUNCTION("""COMPUTED_VALUE"""),45032.0)</f>
        <v>45032</v>
      </c>
      <c r="B472" s="21">
        <f>IFERROR(__xludf.DUMMYFUNCTION("""COMPUTED_VALUE"""),239.27)</f>
        <v>239.27</v>
      </c>
      <c r="C472" s="22">
        <f>IFERROR(__xludf.DUMMYFUNCTION("""COMPUTED_VALUE"""),183.28)</f>
        <v>183.28</v>
      </c>
      <c r="D472" s="22">
        <f>IFERROR(__xludf.DUMMYFUNCTION("""COMPUTED_VALUE"""),367.82)</f>
        <v>367.82</v>
      </c>
      <c r="E472" s="21">
        <f>IFERROR(__xludf.DUMMYFUNCTION("""COMPUTED_VALUE"""),136.35714285714286)</f>
        <v>136.3571429</v>
      </c>
      <c r="F472" s="21">
        <f>IFERROR(__xludf.DUMMYFUNCTION("""COMPUTED_VALUE"""),162.17)</f>
        <v>162.17</v>
      </c>
      <c r="G472" s="21">
        <f>IFERROR(__xludf.DUMMYFUNCTION("""COMPUTED_VALUE"""),91.98)</f>
        <v>91.98</v>
      </c>
    </row>
    <row r="473">
      <c r="A473" s="23">
        <f>IFERROR(__xludf.DUMMYFUNCTION("""COMPUTED_VALUE"""),45033.0)</f>
        <v>45033</v>
      </c>
      <c r="B473" s="21">
        <f>IFERROR(__xludf.DUMMYFUNCTION("""COMPUTED_VALUE"""),239.27)</f>
        <v>239.27</v>
      </c>
      <c r="C473" s="22">
        <f>IFERROR(__xludf.DUMMYFUNCTION("""COMPUTED_VALUE"""),183.28)</f>
        <v>183.28</v>
      </c>
      <c r="D473" s="22">
        <f>IFERROR(__xludf.DUMMYFUNCTION("""COMPUTED_VALUE"""),367.82)</f>
        <v>367.82</v>
      </c>
      <c r="E473" s="21">
        <f>IFERROR(__xludf.DUMMYFUNCTION("""COMPUTED_VALUE"""),142.86428571428573)</f>
        <v>142.8642857</v>
      </c>
      <c r="F473" s="21">
        <f>IFERROR(__xludf.DUMMYFUNCTION("""COMPUTED_VALUE"""),162.4842857142857)</f>
        <v>162.4842857</v>
      </c>
      <c r="G473" s="21">
        <f>IFERROR(__xludf.DUMMYFUNCTION("""COMPUTED_VALUE"""),91.98)</f>
        <v>91.98</v>
      </c>
    </row>
    <row r="474">
      <c r="A474" s="23">
        <f>IFERROR(__xludf.DUMMYFUNCTION("""COMPUTED_VALUE"""),45034.0)</f>
        <v>45034</v>
      </c>
      <c r="B474" s="21">
        <f>IFERROR(__xludf.DUMMYFUNCTION("""COMPUTED_VALUE"""),239.27)</f>
        <v>239.27</v>
      </c>
      <c r="C474" s="22">
        <f>IFERROR(__xludf.DUMMYFUNCTION("""COMPUTED_VALUE"""),183.28)</f>
        <v>183.28</v>
      </c>
      <c r="D474" s="22">
        <f>IFERROR(__xludf.DUMMYFUNCTION("""COMPUTED_VALUE"""),367.82)</f>
        <v>367.82</v>
      </c>
      <c r="E474" s="21">
        <f>IFERROR(__xludf.DUMMYFUNCTION("""COMPUTED_VALUE"""),144.14428571428573)</f>
        <v>144.1442857</v>
      </c>
      <c r="F474" s="21">
        <f>IFERROR(__xludf.DUMMYFUNCTION("""COMPUTED_VALUE"""),162.79857142857142)</f>
        <v>162.7985714</v>
      </c>
      <c r="G474" s="21">
        <f>IFERROR(__xludf.DUMMYFUNCTION("""COMPUTED_VALUE"""),91.98)</f>
        <v>91.98</v>
      </c>
    </row>
    <row r="475">
      <c r="A475" s="23">
        <f>IFERROR(__xludf.DUMMYFUNCTION("""COMPUTED_VALUE"""),45035.0)</f>
        <v>45035</v>
      </c>
      <c r="B475" s="21">
        <f>IFERROR(__xludf.DUMMYFUNCTION("""COMPUTED_VALUE"""),239.27)</f>
        <v>239.27</v>
      </c>
      <c r="C475" s="22">
        <f>IFERROR(__xludf.DUMMYFUNCTION("""COMPUTED_VALUE"""),183.28)</f>
        <v>183.28</v>
      </c>
      <c r="D475" s="22">
        <f>IFERROR(__xludf.DUMMYFUNCTION("""COMPUTED_VALUE"""),367.82)</f>
        <v>367.82</v>
      </c>
      <c r="E475" s="21">
        <f>IFERROR(__xludf.DUMMYFUNCTION("""COMPUTED_VALUE"""),142.39857142857144)</f>
        <v>142.3985714</v>
      </c>
      <c r="F475" s="21">
        <f>IFERROR(__xludf.DUMMYFUNCTION("""COMPUTED_VALUE"""),163.11285714285714)</f>
        <v>163.1128571</v>
      </c>
      <c r="G475" s="21">
        <f>IFERROR(__xludf.DUMMYFUNCTION("""COMPUTED_VALUE"""),91.98)</f>
        <v>91.98</v>
      </c>
    </row>
    <row r="476">
      <c r="A476" s="23">
        <f>IFERROR(__xludf.DUMMYFUNCTION("""COMPUTED_VALUE"""),45036.0)</f>
        <v>45036</v>
      </c>
      <c r="B476" s="21">
        <f>IFERROR(__xludf.DUMMYFUNCTION("""COMPUTED_VALUE"""),239.27)</f>
        <v>239.27</v>
      </c>
      <c r="C476" s="22">
        <f>IFERROR(__xludf.DUMMYFUNCTION("""COMPUTED_VALUE"""),183.28)</f>
        <v>183.28</v>
      </c>
      <c r="D476" s="22">
        <f>IFERROR(__xludf.DUMMYFUNCTION("""COMPUTED_VALUE"""),367.82)</f>
        <v>367.82</v>
      </c>
      <c r="E476" s="21">
        <f>IFERROR(__xludf.DUMMYFUNCTION("""COMPUTED_VALUE"""),142.92285714285714)</f>
        <v>142.9228571</v>
      </c>
      <c r="F476" s="21">
        <f>IFERROR(__xludf.DUMMYFUNCTION("""COMPUTED_VALUE"""),163.42714285714285)</f>
        <v>163.4271429</v>
      </c>
      <c r="G476" s="21">
        <f>IFERROR(__xludf.DUMMYFUNCTION("""COMPUTED_VALUE"""),91.98)</f>
        <v>91.98</v>
      </c>
    </row>
    <row r="477">
      <c r="A477" s="23">
        <f>IFERROR(__xludf.DUMMYFUNCTION("""COMPUTED_VALUE"""),45037.0)</f>
        <v>45037</v>
      </c>
      <c r="B477" s="21">
        <f>IFERROR(__xludf.DUMMYFUNCTION("""COMPUTED_VALUE"""),239.27)</f>
        <v>239.27</v>
      </c>
      <c r="C477" s="22">
        <f>IFERROR(__xludf.DUMMYFUNCTION("""COMPUTED_VALUE"""),183.28)</f>
        <v>183.28</v>
      </c>
      <c r="D477" s="22">
        <f>IFERROR(__xludf.DUMMYFUNCTION("""COMPUTED_VALUE"""),367.82)</f>
        <v>367.82</v>
      </c>
      <c r="E477" s="21">
        <f>IFERROR(__xludf.DUMMYFUNCTION("""COMPUTED_VALUE"""),142.54714285714286)</f>
        <v>142.5471429</v>
      </c>
      <c r="F477" s="21">
        <f>IFERROR(__xludf.DUMMYFUNCTION("""COMPUTED_VALUE"""),163.74142857142857)</f>
        <v>163.7414286</v>
      </c>
      <c r="G477" s="21">
        <f>IFERROR(__xludf.DUMMYFUNCTION("""COMPUTED_VALUE"""),91.98)</f>
        <v>91.98</v>
      </c>
    </row>
    <row r="478">
      <c r="A478" s="23">
        <f>IFERROR(__xludf.DUMMYFUNCTION("""COMPUTED_VALUE"""),45038.0)</f>
        <v>45038</v>
      </c>
      <c r="B478" s="21">
        <f>IFERROR(__xludf.DUMMYFUNCTION("""COMPUTED_VALUE"""),239.27)</f>
        <v>239.27</v>
      </c>
      <c r="C478" s="22">
        <f>IFERROR(__xludf.DUMMYFUNCTION("""COMPUTED_VALUE"""),183.28)</f>
        <v>183.28</v>
      </c>
      <c r="D478" s="22">
        <f>IFERROR(__xludf.DUMMYFUNCTION("""COMPUTED_VALUE"""),367.82)</f>
        <v>367.82</v>
      </c>
      <c r="E478" s="21">
        <f>IFERROR(__xludf.DUMMYFUNCTION("""COMPUTED_VALUE"""),140.78142857142856)</f>
        <v>140.7814286</v>
      </c>
      <c r="F478" s="21">
        <f>IFERROR(__xludf.DUMMYFUNCTION("""COMPUTED_VALUE"""),164.05571428571426)</f>
        <v>164.0557143</v>
      </c>
      <c r="G478" s="21">
        <f>IFERROR(__xludf.DUMMYFUNCTION("""COMPUTED_VALUE"""),91.98)</f>
        <v>91.98</v>
      </c>
    </row>
    <row r="479">
      <c r="A479" s="23">
        <f>IFERROR(__xludf.DUMMYFUNCTION("""COMPUTED_VALUE"""),45039.0)</f>
        <v>45039</v>
      </c>
      <c r="B479" s="21">
        <f>IFERROR(__xludf.DUMMYFUNCTION("""COMPUTED_VALUE"""),239.27)</f>
        <v>239.27</v>
      </c>
      <c r="C479" s="22">
        <f>IFERROR(__xludf.DUMMYFUNCTION("""COMPUTED_VALUE"""),183.28)</f>
        <v>183.28</v>
      </c>
      <c r="D479" s="22">
        <f>IFERROR(__xludf.DUMMYFUNCTION("""COMPUTED_VALUE"""),367.82)</f>
        <v>367.82</v>
      </c>
      <c r="E479" s="21">
        <f>IFERROR(__xludf.DUMMYFUNCTION("""COMPUTED_VALUE"""),140.08857142857144)</f>
        <v>140.0885714</v>
      </c>
      <c r="F479" s="21">
        <f>IFERROR(__xludf.DUMMYFUNCTION("""COMPUTED_VALUE"""),164.37000000000003)</f>
        <v>164.37</v>
      </c>
      <c r="G479" s="21">
        <f>IFERROR(__xludf.DUMMYFUNCTION("""COMPUTED_VALUE"""),91.98)</f>
        <v>91.98</v>
      </c>
    </row>
    <row r="480">
      <c r="A480" s="23">
        <f>IFERROR(__xludf.DUMMYFUNCTION("""COMPUTED_VALUE"""),45040.0)</f>
        <v>45040</v>
      </c>
      <c r="B480" s="21">
        <f>IFERROR(__xludf.DUMMYFUNCTION("""COMPUTED_VALUE"""),231.93)</f>
        <v>231.93</v>
      </c>
      <c r="C480" s="22">
        <f>IFERROR(__xludf.DUMMYFUNCTION("""COMPUTED_VALUE"""),182.59)</f>
        <v>182.59</v>
      </c>
      <c r="D480" s="22">
        <f>IFERROR(__xludf.DUMMYFUNCTION("""COMPUTED_VALUE"""),343.07)</f>
        <v>343.07</v>
      </c>
      <c r="E480" s="21">
        <f>IFERROR(__xludf.DUMMYFUNCTION("""COMPUTED_VALUE"""),135.4)</f>
        <v>135.4</v>
      </c>
      <c r="F480" s="21">
        <f>IFERROR(__xludf.DUMMYFUNCTION("""COMPUTED_VALUE"""),164.37000000000003)</f>
        <v>164.37</v>
      </c>
      <c r="G480" s="21">
        <f>IFERROR(__xludf.DUMMYFUNCTION("""COMPUTED_VALUE"""),91.98)</f>
        <v>91.98</v>
      </c>
    </row>
    <row r="481">
      <c r="A481" s="23">
        <f>IFERROR(__xludf.DUMMYFUNCTION("""COMPUTED_VALUE"""),45041.0)</f>
        <v>45041</v>
      </c>
      <c r="B481" s="21">
        <f>IFERROR(__xludf.DUMMYFUNCTION("""COMPUTED_VALUE"""),231.93)</f>
        <v>231.93</v>
      </c>
      <c r="C481" s="22">
        <f>IFERROR(__xludf.DUMMYFUNCTION("""COMPUTED_VALUE"""),182.59)</f>
        <v>182.59</v>
      </c>
      <c r="D481" s="22">
        <f>IFERROR(__xludf.DUMMYFUNCTION("""COMPUTED_VALUE"""),343.07)</f>
        <v>343.07</v>
      </c>
      <c r="E481" s="21">
        <f>IFERROR(__xludf.DUMMYFUNCTION("""COMPUTED_VALUE"""),129.81428571428572)</f>
        <v>129.8142857</v>
      </c>
      <c r="F481" s="21">
        <f>IFERROR(__xludf.DUMMYFUNCTION("""COMPUTED_VALUE"""),164.37000000000003)</f>
        <v>164.37</v>
      </c>
      <c r="G481" s="21">
        <f>IFERROR(__xludf.DUMMYFUNCTION("""COMPUTED_VALUE"""),91.98)</f>
        <v>91.98</v>
      </c>
    </row>
    <row r="482">
      <c r="A482" s="23">
        <f>IFERROR(__xludf.DUMMYFUNCTION("""COMPUTED_VALUE"""),45042.0)</f>
        <v>45042</v>
      </c>
      <c r="B482" s="21">
        <f>IFERROR(__xludf.DUMMYFUNCTION("""COMPUTED_VALUE"""),231.93)</f>
        <v>231.93</v>
      </c>
      <c r="C482" s="22">
        <f>IFERROR(__xludf.DUMMYFUNCTION("""COMPUTED_VALUE"""),182.59)</f>
        <v>182.59</v>
      </c>
      <c r="D482" s="22">
        <f>IFERROR(__xludf.DUMMYFUNCTION("""COMPUTED_VALUE"""),343.07)</f>
        <v>343.07</v>
      </c>
      <c r="E482" s="21">
        <f>IFERROR(__xludf.DUMMYFUNCTION("""COMPUTED_VALUE"""),126.43714285714285)</f>
        <v>126.4371429</v>
      </c>
      <c r="F482" s="21">
        <f>IFERROR(__xludf.DUMMYFUNCTION("""COMPUTED_VALUE"""),164.37000000000003)</f>
        <v>164.37</v>
      </c>
      <c r="G482" s="21">
        <f>IFERROR(__xludf.DUMMYFUNCTION("""COMPUTED_VALUE"""),91.98)</f>
        <v>91.98</v>
      </c>
    </row>
    <row r="483">
      <c r="A483" s="23">
        <f>IFERROR(__xludf.DUMMYFUNCTION("""COMPUTED_VALUE"""),45043.0)</f>
        <v>45043</v>
      </c>
      <c r="B483" s="21">
        <f>IFERROR(__xludf.DUMMYFUNCTION("""COMPUTED_VALUE"""),231.93)</f>
        <v>231.93</v>
      </c>
      <c r="C483" s="22">
        <f>IFERROR(__xludf.DUMMYFUNCTION("""COMPUTED_VALUE"""),182.59)</f>
        <v>182.59</v>
      </c>
      <c r="D483" s="22">
        <f>IFERROR(__xludf.DUMMYFUNCTION("""COMPUTED_VALUE"""),343.07)</f>
        <v>343.07</v>
      </c>
      <c r="E483" s="21">
        <f>IFERROR(__xludf.DUMMYFUNCTION("""COMPUTED_VALUE"""),123.39428571428573)</f>
        <v>123.3942857</v>
      </c>
      <c r="F483" s="21">
        <f>IFERROR(__xludf.DUMMYFUNCTION("""COMPUTED_VALUE"""),164.37000000000003)</f>
        <v>164.37</v>
      </c>
      <c r="G483" s="21">
        <f>IFERROR(__xludf.DUMMYFUNCTION("""COMPUTED_VALUE"""),91.98)</f>
        <v>91.98</v>
      </c>
    </row>
    <row r="484">
      <c r="A484" s="23">
        <f>IFERROR(__xludf.DUMMYFUNCTION("""COMPUTED_VALUE"""),45044.0)</f>
        <v>45044</v>
      </c>
      <c r="B484" s="21">
        <f>IFERROR(__xludf.DUMMYFUNCTION("""COMPUTED_VALUE"""),231.93)</f>
        <v>231.93</v>
      </c>
      <c r="C484" s="22">
        <f>IFERROR(__xludf.DUMMYFUNCTION("""COMPUTED_VALUE"""),182.59)</f>
        <v>182.59</v>
      </c>
      <c r="D484" s="22">
        <f>IFERROR(__xludf.DUMMYFUNCTION("""COMPUTED_VALUE"""),343.07)</f>
        <v>343.07</v>
      </c>
      <c r="E484" s="21">
        <f>IFERROR(__xludf.DUMMYFUNCTION("""COMPUTED_VALUE"""),121.77857142857144)</f>
        <v>121.7785714</v>
      </c>
      <c r="F484" s="21">
        <f>IFERROR(__xludf.DUMMYFUNCTION("""COMPUTED_VALUE"""),164.37000000000003)</f>
        <v>164.37</v>
      </c>
      <c r="G484" s="21">
        <f>IFERROR(__xludf.DUMMYFUNCTION("""COMPUTED_VALUE"""),91.98)</f>
        <v>91.98</v>
      </c>
    </row>
    <row r="485">
      <c r="A485" s="23">
        <f>IFERROR(__xludf.DUMMYFUNCTION("""COMPUTED_VALUE"""),45045.0)</f>
        <v>45045</v>
      </c>
      <c r="B485" s="21">
        <f>IFERROR(__xludf.DUMMYFUNCTION("""COMPUTED_VALUE"""),231.93)</f>
        <v>231.93</v>
      </c>
      <c r="C485" s="22">
        <f>IFERROR(__xludf.DUMMYFUNCTION("""COMPUTED_VALUE"""),182.59)</f>
        <v>182.59</v>
      </c>
      <c r="D485" s="22">
        <f>IFERROR(__xludf.DUMMYFUNCTION("""COMPUTED_VALUE"""),343.07)</f>
        <v>343.07</v>
      </c>
      <c r="E485" s="21">
        <f>IFERROR(__xludf.DUMMYFUNCTION("""COMPUTED_VALUE"""),121.52142857142859)</f>
        <v>121.5214286</v>
      </c>
      <c r="F485" s="21">
        <f>IFERROR(__xludf.DUMMYFUNCTION("""COMPUTED_VALUE"""),164.37000000000003)</f>
        <v>164.37</v>
      </c>
      <c r="G485" s="21">
        <f>IFERROR(__xludf.DUMMYFUNCTION("""COMPUTED_VALUE"""),91.98)</f>
        <v>91.98</v>
      </c>
    </row>
    <row r="486">
      <c r="A486" s="23">
        <f>IFERROR(__xludf.DUMMYFUNCTION("""COMPUTED_VALUE"""),45046.0)</f>
        <v>45046</v>
      </c>
      <c r="B486" s="21">
        <f>IFERROR(__xludf.DUMMYFUNCTION("""COMPUTED_VALUE"""),231.93)</f>
        <v>231.93</v>
      </c>
      <c r="C486" s="22">
        <f>IFERROR(__xludf.DUMMYFUNCTION("""COMPUTED_VALUE"""),182.59)</f>
        <v>182.59</v>
      </c>
      <c r="D486" s="22">
        <f>IFERROR(__xludf.DUMMYFUNCTION("""COMPUTED_VALUE"""),343.07)</f>
        <v>343.07</v>
      </c>
      <c r="E486" s="21">
        <f>IFERROR(__xludf.DUMMYFUNCTION("""COMPUTED_VALUE"""),119.99285714285716)</f>
        <v>119.9928571</v>
      </c>
      <c r="F486" s="21">
        <f>IFERROR(__xludf.DUMMYFUNCTION("""COMPUTED_VALUE"""),164.37000000000003)</f>
        <v>164.37</v>
      </c>
      <c r="G486" s="21">
        <f>IFERROR(__xludf.DUMMYFUNCTION("""COMPUTED_VALUE"""),91.98)</f>
        <v>91.98</v>
      </c>
    </row>
    <row r="487">
      <c r="A487" s="23">
        <f>IFERROR(__xludf.DUMMYFUNCTION("""COMPUTED_VALUE"""),45047.0)</f>
        <v>45047</v>
      </c>
      <c r="B487" s="21">
        <f>IFERROR(__xludf.DUMMYFUNCTION("""COMPUTED_VALUE"""),231.93)</f>
        <v>231.93</v>
      </c>
      <c r="C487" s="22">
        <f>IFERROR(__xludf.DUMMYFUNCTION("""COMPUTED_VALUE"""),182.59)</f>
        <v>182.59</v>
      </c>
      <c r="D487" s="22">
        <f>IFERROR(__xludf.DUMMYFUNCTION("""COMPUTED_VALUE"""),343.07)</f>
        <v>343.07</v>
      </c>
      <c r="E487" s="21">
        <f>IFERROR(__xludf.DUMMYFUNCTION("""COMPUTED_VALUE"""),119.85571428571428)</f>
        <v>119.8557143</v>
      </c>
      <c r="F487" s="21">
        <f>IFERROR(__xludf.DUMMYFUNCTION("""COMPUTED_VALUE"""),164.09428571428572)</f>
        <v>164.0942857</v>
      </c>
      <c r="G487" s="21">
        <f>IFERROR(__xludf.DUMMYFUNCTION("""COMPUTED_VALUE"""),91.98)</f>
        <v>91.98</v>
      </c>
    </row>
    <row r="488">
      <c r="A488" s="20">
        <f>IFERROR(__xludf.DUMMYFUNCTION("""COMPUTED_VALUE"""),45048.0)</f>
        <v>45048</v>
      </c>
      <c r="B488" s="21">
        <f>IFERROR(__xludf.DUMMYFUNCTION("""COMPUTED_VALUE"""),231.93)</f>
        <v>231.93</v>
      </c>
      <c r="C488" s="22">
        <f>IFERROR(__xludf.DUMMYFUNCTION("""COMPUTED_VALUE"""),182.59)</f>
        <v>182.59</v>
      </c>
      <c r="D488" s="22">
        <f>IFERROR(__xludf.DUMMYFUNCTION("""COMPUTED_VALUE"""),343.07)</f>
        <v>343.07</v>
      </c>
      <c r="E488" s="21">
        <f>IFERROR(__xludf.DUMMYFUNCTION("""COMPUTED_VALUE"""),122.72)</f>
        <v>122.72</v>
      </c>
      <c r="F488" s="21">
        <f>IFERROR(__xludf.DUMMYFUNCTION("""COMPUTED_VALUE"""),163.81857142857143)</f>
        <v>163.8185714</v>
      </c>
      <c r="G488" s="21">
        <f>IFERROR(__xludf.DUMMYFUNCTION("""COMPUTED_VALUE"""),91.98)</f>
        <v>91.98</v>
      </c>
    </row>
    <row r="489">
      <c r="A489" s="20">
        <f>IFERROR(__xludf.DUMMYFUNCTION("""COMPUTED_VALUE"""),45049.0)</f>
        <v>45049</v>
      </c>
      <c r="B489" s="21">
        <f>IFERROR(__xludf.DUMMYFUNCTION("""COMPUTED_VALUE"""),231.93)</f>
        <v>231.93</v>
      </c>
      <c r="C489" s="22">
        <f>IFERROR(__xludf.DUMMYFUNCTION("""COMPUTED_VALUE"""),182.59)</f>
        <v>182.59</v>
      </c>
      <c r="D489" s="22">
        <f>IFERROR(__xludf.DUMMYFUNCTION("""COMPUTED_VALUE"""),343.07)</f>
        <v>343.07</v>
      </c>
      <c r="E489" s="21">
        <f>IFERROR(__xludf.DUMMYFUNCTION("""COMPUTED_VALUE"""),123.33142857142856)</f>
        <v>123.3314286</v>
      </c>
      <c r="F489" s="21">
        <f>IFERROR(__xludf.DUMMYFUNCTION("""COMPUTED_VALUE"""),163.54285714285717)</f>
        <v>163.5428571</v>
      </c>
      <c r="G489" s="21">
        <f>IFERROR(__xludf.DUMMYFUNCTION("""COMPUTED_VALUE"""),91.98)</f>
        <v>91.98</v>
      </c>
    </row>
    <row r="490">
      <c r="A490" s="20">
        <f>IFERROR(__xludf.DUMMYFUNCTION("""COMPUTED_VALUE"""),45050.0)</f>
        <v>45050</v>
      </c>
      <c r="B490" s="21">
        <f>IFERROR(__xludf.DUMMYFUNCTION("""COMPUTED_VALUE"""),231.93)</f>
        <v>231.93</v>
      </c>
      <c r="C490" s="22">
        <f>IFERROR(__xludf.DUMMYFUNCTION("""COMPUTED_VALUE"""),182.59)</f>
        <v>182.59</v>
      </c>
      <c r="D490" s="22">
        <f>IFERROR(__xludf.DUMMYFUNCTION("""COMPUTED_VALUE"""),343.07)</f>
        <v>343.07</v>
      </c>
      <c r="E490" s="21">
        <f>IFERROR(__xludf.DUMMYFUNCTION("""COMPUTED_VALUE"""),121.57428571428571)</f>
        <v>121.5742857</v>
      </c>
      <c r="F490" s="21">
        <f>IFERROR(__xludf.DUMMYFUNCTION("""COMPUTED_VALUE"""),163.2671428571429)</f>
        <v>163.2671429</v>
      </c>
      <c r="G490" s="21">
        <f>IFERROR(__xludf.DUMMYFUNCTION("""COMPUTED_VALUE"""),91.98)</f>
        <v>91.98</v>
      </c>
    </row>
    <row r="491">
      <c r="A491" s="20">
        <f>IFERROR(__xludf.DUMMYFUNCTION("""COMPUTED_VALUE"""),45051.0)</f>
        <v>45051</v>
      </c>
      <c r="B491" s="21">
        <f>IFERROR(__xludf.DUMMYFUNCTION("""COMPUTED_VALUE"""),231.93)</f>
        <v>231.93</v>
      </c>
      <c r="C491" s="22">
        <f>IFERROR(__xludf.DUMMYFUNCTION("""COMPUTED_VALUE"""),182.59)</f>
        <v>182.59</v>
      </c>
      <c r="D491" s="22">
        <f>IFERROR(__xludf.DUMMYFUNCTION("""COMPUTED_VALUE"""),343.07)</f>
        <v>343.07</v>
      </c>
      <c r="E491" s="21">
        <f>IFERROR(__xludf.DUMMYFUNCTION("""COMPUTED_VALUE"""),119.33714285714287)</f>
        <v>119.3371429</v>
      </c>
      <c r="F491" s="21">
        <f>IFERROR(__xludf.DUMMYFUNCTION("""COMPUTED_VALUE"""),162.99142857142857)</f>
        <v>162.9914286</v>
      </c>
      <c r="G491" s="21">
        <f>IFERROR(__xludf.DUMMYFUNCTION("""COMPUTED_VALUE"""),91.98)</f>
        <v>91.98</v>
      </c>
    </row>
    <row r="492">
      <c r="A492" s="20">
        <f>IFERROR(__xludf.DUMMYFUNCTION("""COMPUTED_VALUE"""),45052.0)</f>
        <v>45052</v>
      </c>
      <c r="B492" s="21">
        <f>IFERROR(__xludf.DUMMYFUNCTION("""COMPUTED_VALUE"""),231.93)</f>
        <v>231.93</v>
      </c>
      <c r="C492" s="22">
        <f>IFERROR(__xludf.DUMMYFUNCTION("""COMPUTED_VALUE"""),182.59)</f>
        <v>182.59</v>
      </c>
      <c r="D492" s="22">
        <f>IFERROR(__xludf.DUMMYFUNCTION("""COMPUTED_VALUE"""),343.07)</f>
        <v>343.07</v>
      </c>
      <c r="E492" s="21">
        <f>IFERROR(__xludf.DUMMYFUNCTION("""COMPUTED_VALUE"""),117.40285714285713)</f>
        <v>117.4028571</v>
      </c>
      <c r="F492" s="21">
        <f>IFERROR(__xludf.DUMMYFUNCTION("""COMPUTED_VALUE"""),162.71000000000004)</f>
        <v>162.71</v>
      </c>
      <c r="G492" s="21">
        <f>IFERROR(__xludf.DUMMYFUNCTION("""COMPUTED_VALUE"""),91.98)</f>
        <v>91.98</v>
      </c>
    </row>
    <row r="493">
      <c r="A493" s="20">
        <f>IFERROR(__xludf.DUMMYFUNCTION("""COMPUTED_VALUE"""),45053.0)</f>
        <v>45053</v>
      </c>
      <c r="B493" s="21">
        <f>IFERROR(__xludf.DUMMYFUNCTION("""COMPUTED_VALUE"""),231.93)</f>
        <v>231.93</v>
      </c>
      <c r="C493" s="22">
        <f>IFERROR(__xludf.DUMMYFUNCTION("""COMPUTED_VALUE"""),182.59)</f>
        <v>182.59</v>
      </c>
      <c r="D493" s="22">
        <f>IFERROR(__xludf.DUMMYFUNCTION("""COMPUTED_VALUE"""),343.07)</f>
        <v>343.07</v>
      </c>
      <c r="E493" s="21">
        <f>IFERROR(__xludf.DUMMYFUNCTION("""COMPUTED_VALUE"""),114.41285714285712)</f>
        <v>114.4128571</v>
      </c>
      <c r="F493" s="21">
        <f>IFERROR(__xludf.DUMMYFUNCTION("""COMPUTED_VALUE"""),162.42857142857142)</f>
        <v>162.4285714</v>
      </c>
      <c r="G493" s="21">
        <f>IFERROR(__xludf.DUMMYFUNCTION("""COMPUTED_VALUE"""),91.98)</f>
        <v>91.98</v>
      </c>
    </row>
    <row r="494">
      <c r="A494" s="20">
        <f>IFERROR(__xludf.DUMMYFUNCTION("""COMPUTED_VALUE"""),45054.0)</f>
        <v>45054</v>
      </c>
      <c r="B494" s="21">
        <f>IFERROR(__xludf.DUMMYFUNCTION("""COMPUTED_VALUE"""),222.81)</f>
        <v>222.81</v>
      </c>
      <c r="C494" s="22">
        <f>IFERROR(__xludf.DUMMYFUNCTION("""COMPUTED_VALUE"""),168.2)</f>
        <v>168.2</v>
      </c>
      <c r="D494" s="22">
        <f>IFERROR(__xludf.DUMMYFUNCTION("""COMPUTED_VALUE"""),320.57)</f>
        <v>320.57</v>
      </c>
      <c r="E494" s="21">
        <f>IFERROR(__xludf.DUMMYFUNCTION("""COMPUTED_VALUE"""),117.63)</f>
        <v>117.63</v>
      </c>
      <c r="F494" s="21">
        <f>IFERROR(__xludf.DUMMYFUNCTION("""COMPUTED_VALUE"""),162.1682142857143)</f>
        <v>162.1682143</v>
      </c>
      <c r="G494" s="21">
        <f>IFERROR(__xludf.DUMMYFUNCTION("""COMPUTED_VALUE"""),91.98)</f>
        <v>91.98</v>
      </c>
    </row>
    <row r="495">
      <c r="A495" s="20">
        <f>IFERROR(__xludf.DUMMYFUNCTION("""COMPUTED_VALUE"""),45055.0)</f>
        <v>45055</v>
      </c>
      <c r="B495" s="21">
        <f>IFERROR(__xludf.DUMMYFUNCTION("""COMPUTED_VALUE"""),222.81)</f>
        <v>222.81</v>
      </c>
      <c r="C495" s="22">
        <f>IFERROR(__xludf.DUMMYFUNCTION("""COMPUTED_VALUE"""),168.2)</f>
        <v>168.2</v>
      </c>
      <c r="D495" s="22">
        <f>IFERROR(__xludf.DUMMYFUNCTION("""COMPUTED_VALUE"""),320.57)</f>
        <v>320.57</v>
      </c>
      <c r="E495" s="21">
        <f>IFERROR(__xludf.DUMMYFUNCTION("""COMPUTED_VALUE"""),118.89857142857143)</f>
        <v>118.8985714</v>
      </c>
      <c r="F495" s="21">
        <f>IFERROR(__xludf.DUMMYFUNCTION("""COMPUTED_VALUE"""),161.90785714285715)</f>
        <v>161.9078571</v>
      </c>
      <c r="G495" s="21">
        <f>IFERROR(__xludf.DUMMYFUNCTION("""COMPUTED_VALUE"""),91.98)</f>
        <v>91.98</v>
      </c>
    </row>
    <row r="496">
      <c r="A496" s="20">
        <f>IFERROR(__xludf.DUMMYFUNCTION("""COMPUTED_VALUE"""),45056.0)</f>
        <v>45056</v>
      </c>
      <c r="B496" s="21">
        <f>IFERROR(__xludf.DUMMYFUNCTION("""COMPUTED_VALUE"""),222.81)</f>
        <v>222.81</v>
      </c>
      <c r="C496" s="22">
        <f>IFERROR(__xludf.DUMMYFUNCTION("""COMPUTED_VALUE"""),168.2)</f>
        <v>168.2</v>
      </c>
      <c r="D496" s="22">
        <f>IFERROR(__xludf.DUMMYFUNCTION("""COMPUTED_VALUE"""),320.57)</f>
        <v>320.57</v>
      </c>
      <c r="E496" s="21">
        <f>IFERROR(__xludf.DUMMYFUNCTION("""COMPUTED_VALUE"""),119.36999999999999)</f>
        <v>119.37</v>
      </c>
      <c r="F496" s="21">
        <f>IFERROR(__xludf.DUMMYFUNCTION("""COMPUTED_VALUE"""),161.6475)</f>
        <v>161.6475</v>
      </c>
      <c r="G496" s="21">
        <f>IFERROR(__xludf.DUMMYFUNCTION("""COMPUTED_VALUE"""),91.98)</f>
        <v>91.98</v>
      </c>
    </row>
    <row r="497">
      <c r="A497" s="20">
        <f>IFERROR(__xludf.DUMMYFUNCTION("""COMPUTED_VALUE"""),45057.0)</f>
        <v>45057</v>
      </c>
      <c r="B497" s="21">
        <f>IFERROR(__xludf.DUMMYFUNCTION("""COMPUTED_VALUE"""),222.81)</f>
        <v>222.81</v>
      </c>
      <c r="C497" s="22">
        <f>IFERROR(__xludf.DUMMYFUNCTION("""COMPUTED_VALUE"""),168.2)</f>
        <v>168.2</v>
      </c>
      <c r="D497" s="22">
        <f>IFERROR(__xludf.DUMMYFUNCTION("""COMPUTED_VALUE"""),320.57)</f>
        <v>320.57</v>
      </c>
      <c r="E497" s="21">
        <f>IFERROR(__xludf.DUMMYFUNCTION("""COMPUTED_VALUE"""),120.04714285714284)</f>
        <v>120.0471429</v>
      </c>
      <c r="F497" s="21">
        <f>IFERROR(__xludf.DUMMYFUNCTION("""COMPUTED_VALUE"""),161.3871428571429)</f>
        <v>161.3871429</v>
      </c>
      <c r="G497" s="21">
        <f>IFERROR(__xludf.DUMMYFUNCTION("""COMPUTED_VALUE"""),91.98)</f>
        <v>91.98</v>
      </c>
    </row>
    <row r="498">
      <c r="A498" s="20">
        <f>IFERROR(__xludf.DUMMYFUNCTION("""COMPUTED_VALUE"""),45058.0)</f>
        <v>45058</v>
      </c>
      <c r="B498" s="21">
        <f>IFERROR(__xludf.DUMMYFUNCTION("""COMPUTED_VALUE"""),222.81)</f>
        <v>222.81</v>
      </c>
      <c r="C498" s="22">
        <f>IFERROR(__xludf.DUMMYFUNCTION("""COMPUTED_VALUE"""),168.2)</f>
        <v>168.2</v>
      </c>
      <c r="D498" s="22">
        <f>IFERROR(__xludf.DUMMYFUNCTION("""COMPUTED_VALUE"""),320.57)</f>
        <v>320.57</v>
      </c>
      <c r="E498" s="21">
        <f>IFERROR(__xludf.DUMMYFUNCTION("""COMPUTED_VALUE"""),119.67428571428572)</f>
        <v>119.6742857</v>
      </c>
      <c r="F498" s="21">
        <f>IFERROR(__xludf.DUMMYFUNCTION("""COMPUTED_VALUE"""),161.12678571428575)</f>
        <v>161.1267857</v>
      </c>
      <c r="G498" s="21">
        <f>IFERROR(__xludf.DUMMYFUNCTION("""COMPUTED_VALUE"""),91.98)</f>
        <v>91.98</v>
      </c>
    </row>
    <row r="499">
      <c r="A499" s="20">
        <f>IFERROR(__xludf.DUMMYFUNCTION("""COMPUTED_VALUE"""),45059.0)</f>
        <v>45059</v>
      </c>
      <c r="B499" s="21">
        <f>IFERROR(__xludf.DUMMYFUNCTION("""COMPUTED_VALUE"""),222.81)</f>
        <v>222.81</v>
      </c>
      <c r="C499" s="22">
        <f>IFERROR(__xludf.DUMMYFUNCTION("""COMPUTED_VALUE"""),168.2)</f>
        <v>168.2</v>
      </c>
      <c r="D499" s="22">
        <f>IFERROR(__xludf.DUMMYFUNCTION("""COMPUTED_VALUE"""),320.57)</f>
        <v>320.57</v>
      </c>
      <c r="E499" s="21">
        <f>IFERROR(__xludf.DUMMYFUNCTION("""COMPUTED_VALUE"""),120.49428571428571)</f>
        <v>120.4942857</v>
      </c>
      <c r="F499" s="21">
        <f>IFERROR(__xludf.DUMMYFUNCTION("""COMPUTED_VALUE"""),160.8721428571429)</f>
        <v>160.8721429</v>
      </c>
      <c r="G499" s="21">
        <f>IFERROR(__xludf.DUMMYFUNCTION("""COMPUTED_VALUE"""),91.98)</f>
        <v>91.98</v>
      </c>
    </row>
    <row r="500">
      <c r="A500" s="23">
        <f>IFERROR(__xludf.DUMMYFUNCTION("""COMPUTED_VALUE"""),45060.0)</f>
        <v>45060</v>
      </c>
      <c r="B500" s="21">
        <f>IFERROR(__xludf.DUMMYFUNCTION("""COMPUTED_VALUE"""),222.81)</f>
        <v>222.81</v>
      </c>
      <c r="C500" s="22">
        <f>IFERROR(__xludf.DUMMYFUNCTION("""COMPUTED_VALUE"""),168.2)</f>
        <v>168.2</v>
      </c>
      <c r="D500" s="22">
        <f>IFERROR(__xludf.DUMMYFUNCTION("""COMPUTED_VALUE"""),320.57)</f>
        <v>320.57</v>
      </c>
      <c r="E500" s="21">
        <f>IFERROR(__xludf.DUMMYFUNCTION("""COMPUTED_VALUE"""),121.08699999999999)</f>
        <v>121.087</v>
      </c>
      <c r="F500" s="21">
        <f>IFERROR(__xludf.DUMMYFUNCTION("""COMPUTED_VALUE"""),160.61750000000004)</f>
        <v>160.6175</v>
      </c>
      <c r="G500" s="21">
        <f>IFERROR(__xludf.DUMMYFUNCTION("""COMPUTED_VALUE"""),91.98)</f>
        <v>91.98</v>
      </c>
    </row>
    <row r="501">
      <c r="A501" s="23">
        <f>IFERROR(__xludf.DUMMYFUNCTION("""COMPUTED_VALUE"""),45061.0)</f>
        <v>45061</v>
      </c>
      <c r="B501" s="21">
        <f>IFERROR(__xludf.DUMMYFUNCTION("""COMPUTED_VALUE"""),222.81)</f>
        <v>222.81</v>
      </c>
      <c r="C501" s="22">
        <f>IFERROR(__xludf.DUMMYFUNCTION("""COMPUTED_VALUE"""),168.2)</f>
        <v>168.2</v>
      </c>
      <c r="D501" s="22">
        <f>IFERROR(__xludf.DUMMYFUNCTION("""COMPUTED_VALUE"""),320.57)</f>
        <v>320.57</v>
      </c>
      <c r="E501" s="21">
        <f>IFERROR(__xludf.DUMMYFUNCTION("""COMPUTED_VALUE"""),117.70842857142857)</f>
        <v>117.7084286</v>
      </c>
      <c r="F501" s="21">
        <f>IFERROR(__xludf.DUMMYFUNCTION("""COMPUTED_VALUE"""),160.0607142857143)</f>
        <v>160.0607143</v>
      </c>
      <c r="G501" s="21">
        <f>IFERROR(__xludf.DUMMYFUNCTION("""COMPUTED_VALUE"""),91.98)</f>
        <v>91.98</v>
      </c>
    </row>
    <row r="502">
      <c r="A502" s="23">
        <f>IFERROR(__xludf.DUMMYFUNCTION("""COMPUTED_VALUE"""),45062.0)</f>
        <v>45062</v>
      </c>
      <c r="B502" s="21">
        <f>IFERROR(__xludf.DUMMYFUNCTION("""COMPUTED_VALUE"""),222.81)</f>
        <v>222.81</v>
      </c>
      <c r="C502" s="22">
        <f>IFERROR(__xludf.DUMMYFUNCTION("""COMPUTED_VALUE"""),168.2)</f>
        <v>168.2</v>
      </c>
      <c r="D502" s="22">
        <f>IFERROR(__xludf.DUMMYFUNCTION("""COMPUTED_VALUE"""),320.57)</f>
        <v>320.57</v>
      </c>
      <c r="E502" s="21">
        <f>IFERROR(__xludf.DUMMYFUNCTION("""COMPUTED_VALUE"""),113.36271428571429)</f>
        <v>113.3627143</v>
      </c>
      <c r="F502" s="21">
        <f>IFERROR(__xludf.DUMMYFUNCTION("""COMPUTED_VALUE"""),159.5039285714286)</f>
        <v>159.5039286</v>
      </c>
      <c r="G502" s="21">
        <f>IFERROR(__xludf.DUMMYFUNCTION("""COMPUTED_VALUE"""),91.98)</f>
        <v>91.98</v>
      </c>
    </row>
    <row r="503">
      <c r="A503" s="23">
        <f>IFERROR(__xludf.DUMMYFUNCTION("""COMPUTED_VALUE"""),45063.0)</f>
        <v>45063</v>
      </c>
      <c r="B503" s="21">
        <f>IFERROR(__xludf.DUMMYFUNCTION("""COMPUTED_VALUE"""),222.81)</f>
        <v>222.81</v>
      </c>
      <c r="C503" s="22">
        <f>IFERROR(__xludf.DUMMYFUNCTION("""COMPUTED_VALUE"""),168.2)</f>
        <v>168.2</v>
      </c>
      <c r="D503" s="22">
        <f>IFERROR(__xludf.DUMMYFUNCTION("""COMPUTED_VALUE"""),320.57)</f>
        <v>320.57</v>
      </c>
      <c r="E503" s="21">
        <f>IFERROR(__xludf.DUMMYFUNCTION("""COMPUTED_VALUE"""),111.49557142857144)</f>
        <v>111.4955714</v>
      </c>
      <c r="F503" s="21">
        <f>IFERROR(__xludf.DUMMYFUNCTION("""COMPUTED_VALUE"""),158.94714285714286)</f>
        <v>158.9471429</v>
      </c>
      <c r="G503" s="21">
        <f>IFERROR(__xludf.DUMMYFUNCTION("""COMPUTED_VALUE"""),91.98)</f>
        <v>91.98</v>
      </c>
    </row>
    <row r="504">
      <c r="A504" s="23">
        <f>IFERROR(__xludf.DUMMYFUNCTION("""COMPUTED_VALUE"""),45064.0)</f>
        <v>45064</v>
      </c>
      <c r="B504" s="21">
        <f>IFERROR(__xludf.DUMMYFUNCTION("""COMPUTED_VALUE"""),222.81)</f>
        <v>222.81</v>
      </c>
      <c r="C504" s="22">
        <f>IFERROR(__xludf.DUMMYFUNCTION("""COMPUTED_VALUE"""),168.2)</f>
        <v>168.2</v>
      </c>
      <c r="D504" s="22">
        <f>IFERROR(__xludf.DUMMYFUNCTION("""COMPUTED_VALUE"""),320.57)</f>
        <v>320.57</v>
      </c>
      <c r="E504" s="21">
        <f>IFERROR(__xludf.DUMMYFUNCTION("""COMPUTED_VALUE"""),109.95985714285715)</f>
        <v>109.9598571</v>
      </c>
      <c r="F504" s="21">
        <f>IFERROR(__xludf.DUMMYFUNCTION("""COMPUTED_VALUE"""),158.39035714285714)</f>
        <v>158.3903571</v>
      </c>
      <c r="G504" s="21">
        <f>IFERROR(__xludf.DUMMYFUNCTION("""COMPUTED_VALUE"""),91.98)</f>
        <v>91.98</v>
      </c>
    </row>
    <row r="505">
      <c r="A505" s="23">
        <f>IFERROR(__xludf.DUMMYFUNCTION("""COMPUTED_VALUE"""),45065.0)</f>
        <v>45065</v>
      </c>
      <c r="B505" s="21">
        <f>IFERROR(__xludf.DUMMYFUNCTION("""COMPUTED_VALUE"""),222.81)</f>
        <v>222.81</v>
      </c>
      <c r="C505" s="22">
        <f>IFERROR(__xludf.DUMMYFUNCTION("""COMPUTED_VALUE"""),168.2)</f>
        <v>168.2</v>
      </c>
      <c r="D505" s="22">
        <f>IFERROR(__xludf.DUMMYFUNCTION("""COMPUTED_VALUE"""),320.57)</f>
        <v>320.57</v>
      </c>
      <c r="E505" s="21">
        <f>IFERROR(__xludf.DUMMYFUNCTION("""COMPUTED_VALUE"""),109.90557142857142)</f>
        <v>109.9055714</v>
      </c>
      <c r="F505" s="21">
        <f>IFERROR(__xludf.DUMMYFUNCTION("""COMPUTED_VALUE"""),157.83357142857145)</f>
        <v>157.8335714</v>
      </c>
      <c r="G505" s="21">
        <f>IFERROR(__xludf.DUMMYFUNCTION("""COMPUTED_VALUE"""),91.98)</f>
        <v>91.98</v>
      </c>
    </row>
    <row r="506">
      <c r="A506" s="23">
        <f>IFERROR(__xludf.DUMMYFUNCTION("""COMPUTED_VALUE"""),45066.0)</f>
        <v>45066</v>
      </c>
      <c r="B506" s="21">
        <f>IFERROR(__xludf.DUMMYFUNCTION("""COMPUTED_VALUE"""),222.81)</f>
        <v>222.81</v>
      </c>
      <c r="C506" s="22">
        <f>IFERROR(__xludf.DUMMYFUNCTION("""COMPUTED_VALUE"""),168.2)</f>
        <v>168.2</v>
      </c>
      <c r="D506" s="22">
        <f>IFERROR(__xludf.DUMMYFUNCTION("""COMPUTED_VALUE"""),320.57)</f>
        <v>320.57</v>
      </c>
      <c r="E506" s="21">
        <f>IFERROR(__xludf.DUMMYFUNCTION("""COMPUTED_VALUE"""),108.75271428571429)</f>
        <v>108.7527143</v>
      </c>
      <c r="F506" s="21">
        <f>IFERROR(__xludf.DUMMYFUNCTION("""COMPUTED_VALUE"""),157.27678571428572)</f>
        <v>157.2767857</v>
      </c>
      <c r="G506" s="21">
        <f>IFERROR(__xludf.DUMMYFUNCTION("""COMPUTED_VALUE"""),91.98)</f>
        <v>91.98</v>
      </c>
    </row>
    <row r="507">
      <c r="A507" s="23">
        <f>IFERROR(__xludf.DUMMYFUNCTION("""COMPUTED_VALUE"""),45067.0)</f>
        <v>45067</v>
      </c>
      <c r="B507" s="21">
        <f>IFERROR(__xludf.DUMMYFUNCTION("""COMPUTED_VALUE"""),222.81)</f>
        <v>222.81</v>
      </c>
      <c r="C507" s="22">
        <f>IFERROR(__xludf.DUMMYFUNCTION("""COMPUTED_VALUE"""),168.2)</f>
        <v>168.2</v>
      </c>
      <c r="D507" s="22">
        <f>IFERROR(__xludf.DUMMYFUNCTION("""COMPUTED_VALUE"""),320.57)</f>
        <v>320.57</v>
      </c>
      <c r="E507" s="21">
        <f>IFERROR(__xludf.DUMMYFUNCTION("""COMPUTED_VALUE"""),104.20900000000002)</f>
        <v>104.209</v>
      </c>
      <c r="F507" s="21">
        <f>IFERROR(__xludf.DUMMYFUNCTION("""COMPUTED_VALUE"""),156.72)</f>
        <v>156.72</v>
      </c>
      <c r="G507" s="21">
        <f>IFERROR(__xludf.DUMMYFUNCTION("""COMPUTED_VALUE"""),91.98)</f>
        <v>91.98</v>
      </c>
    </row>
    <row r="508">
      <c r="A508" s="23">
        <f>IFERROR(__xludf.DUMMYFUNCTION("""COMPUTED_VALUE"""),45068.0)</f>
        <v>45068</v>
      </c>
      <c r="B508" s="21">
        <f>IFERROR(__xludf.DUMMYFUNCTION("""COMPUTED_VALUE"""),213.05)</f>
        <v>213.05</v>
      </c>
      <c r="C508" s="22">
        <f>IFERROR(__xludf.DUMMYFUNCTION("""COMPUTED_VALUE"""),168.2)</f>
        <v>168.2</v>
      </c>
      <c r="D508" s="22">
        <f>IFERROR(__xludf.DUMMYFUNCTION("""COMPUTED_VALUE"""),301.74)</f>
        <v>301.74</v>
      </c>
      <c r="E508" s="21">
        <f>IFERROR(__xludf.DUMMYFUNCTION("""COMPUTED_VALUE"""),103.55414285714286)</f>
        <v>103.5541429</v>
      </c>
      <c r="F508" s="21">
        <f>IFERROR(__xludf.DUMMYFUNCTION("""COMPUTED_VALUE"""),155.27142857142857)</f>
        <v>155.2714286</v>
      </c>
      <c r="G508" s="21">
        <f>IFERROR(__xludf.DUMMYFUNCTION("""COMPUTED_VALUE"""),91.98)</f>
        <v>91.98</v>
      </c>
    </row>
    <row r="509">
      <c r="A509" s="23">
        <f>IFERROR(__xludf.DUMMYFUNCTION("""COMPUTED_VALUE"""),45069.0)</f>
        <v>45069</v>
      </c>
      <c r="B509" s="21">
        <f>IFERROR(__xludf.DUMMYFUNCTION("""COMPUTED_VALUE"""),213.05)</f>
        <v>213.05</v>
      </c>
      <c r="C509" s="22">
        <f>IFERROR(__xludf.DUMMYFUNCTION("""COMPUTED_VALUE"""),168.2)</f>
        <v>168.2</v>
      </c>
      <c r="D509" s="22">
        <f>IFERROR(__xludf.DUMMYFUNCTION("""COMPUTED_VALUE"""),301.74)</f>
        <v>301.74</v>
      </c>
      <c r="E509" s="21">
        <f>IFERROR(__xludf.DUMMYFUNCTION("""COMPUTED_VALUE"""),104.13842857142856)</f>
        <v>104.1384286</v>
      </c>
      <c r="F509" s="21">
        <f>IFERROR(__xludf.DUMMYFUNCTION("""COMPUTED_VALUE"""),153.82285714285715)</f>
        <v>153.8228571</v>
      </c>
      <c r="G509" s="21">
        <f>IFERROR(__xludf.DUMMYFUNCTION("""COMPUTED_VALUE"""),91.98)</f>
        <v>91.98</v>
      </c>
    </row>
    <row r="510">
      <c r="A510" s="23">
        <f>IFERROR(__xludf.DUMMYFUNCTION("""COMPUTED_VALUE"""),45070.0)</f>
        <v>45070</v>
      </c>
      <c r="B510" s="21">
        <f>IFERROR(__xludf.DUMMYFUNCTION("""COMPUTED_VALUE"""),213.05)</f>
        <v>213.05</v>
      </c>
      <c r="C510" s="22">
        <f>IFERROR(__xludf.DUMMYFUNCTION("""COMPUTED_VALUE"""),168.2)</f>
        <v>168.2</v>
      </c>
      <c r="D510" s="22">
        <f>IFERROR(__xludf.DUMMYFUNCTION("""COMPUTED_VALUE"""),301.74)</f>
        <v>301.74</v>
      </c>
      <c r="E510" s="21">
        <f>IFERROR(__xludf.DUMMYFUNCTION("""COMPUTED_VALUE"""),103.11842857142858)</f>
        <v>103.1184286</v>
      </c>
      <c r="F510" s="21">
        <f>IFERROR(__xludf.DUMMYFUNCTION("""COMPUTED_VALUE"""),152.37428571428572)</f>
        <v>152.3742857</v>
      </c>
      <c r="G510" s="21">
        <f>IFERROR(__xludf.DUMMYFUNCTION("""COMPUTED_VALUE"""),91.98)</f>
        <v>91.98</v>
      </c>
    </row>
    <row r="511">
      <c r="A511" s="23">
        <f>IFERROR(__xludf.DUMMYFUNCTION("""COMPUTED_VALUE"""),45071.0)</f>
        <v>45071</v>
      </c>
      <c r="B511" s="21">
        <f>IFERROR(__xludf.DUMMYFUNCTION("""COMPUTED_VALUE"""),213.05)</f>
        <v>213.05</v>
      </c>
      <c r="C511" s="22">
        <f>IFERROR(__xludf.DUMMYFUNCTION("""COMPUTED_VALUE"""),168.2)</f>
        <v>168.2</v>
      </c>
      <c r="D511" s="22">
        <f>IFERROR(__xludf.DUMMYFUNCTION("""COMPUTED_VALUE"""),301.74)</f>
        <v>301.74</v>
      </c>
      <c r="E511" s="21">
        <f>IFERROR(__xludf.DUMMYFUNCTION("""COMPUTED_VALUE"""),101.70700000000001)</f>
        <v>101.707</v>
      </c>
      <c r="F511" s="21">
        <f>IFERROR(__xludf.DUMMYFUNCTION("""COMPUTED_VALUE"""),150.9257142857143)</f>
        <v>150.9257143</v>
      </c>
      <c r="G511" s="21">
        <f>IFERROR(__xludf.DUMMYFUNCTION("""COMPUTED_VALUE"""),91.98)</f>
        <v>91.98</v>
      </c>
    </row>
    <row r="512">
      <c r="A512" s="23">
        <f>IFERROR(__xludf.DUMMYFUNCTION("""COMPUTED_VALUE"""),45072.0)</f>
        <v>45072</v>
      </c>
      <c r="B512" s="21">
        <f>IFERROR(__xludf.DUMMYFUNCTION("""COMPUTED_VALUE"""),213.05)</f>
        <v>213.05</v>
      </c>
      <c r="C512" s="22">
        <f>IFERROR(__xludf.DUMMYFUNCTION("""COMPUTED_VALUE"""),168.2)</f>
        <v>168.2</v>
      </c>
      <c r="D512" s="22">
        <f>IFERROR(__xludf.DUMMYFUNCTION("""COMPUTED_VALUE"""),301.74)</f>
        <v>301.74</v>
      </c>
      <c r="E512" s="21">
        <f>IFERROR(__xludf.DUMMYFUNCTION("""COMPUTED_VALUE"""),98.46857142857142)</f>
        <v>98.46857143</v>
      </c>
      <c r="F512" s="21">
        <f>IFERROR(__xludf.DUMMYFUNCTION("""COMPUTED_VALUE"""),149.47714285714287)</f>
        <v>149.4771429</v>
      </c>
      <c r="G512" s="21">
        <f>IFERROR(__xludf.DUMMYFUNCTION("""COMPUTED_VALUE"""),91.98)</f>
        <v>91.98</v>
      </c>
    </row>
    <row r="513">
      <c r="A513" s="23">
        <f>IFERROR(__xludf.DUMMYFUNCTION("""COMPUTED_VALUE"""),45073.0)</f>
        <v>45073</v>
      </c>
      <c r="B513" s="21">
        <f>IFERROR(__xludf.DUMMYFUNCTION("""COMPUTED_VALUE"""),213.05)</f>
        <v>213.05</v>
      </c>
      <c r="C513" s="22">
        <f>IFERROR(__xludf.DUMMYFUNCTION("""COMPUTED_VALUE"""),168.2)</f>
        <v>168.2</v>
      </c>
      <c r="D513" s="22">
        <f>IFERROR(__xludf.DUMMYFUNCTION("""COMPUTED_VALUE"""),301.74)</f>
        <v>301.74</v>
      </c>
      <c r="E513" s="21">
        <f>IFERROR(__xludf.DUMMYFUNCTION("""COMPUTED_VALUE"""),93.86857142857143)</f>
        <v>93.86857143</v>
      </c>
      <c r="F513" s="21">
        <f>IFERROR(__xludf.DUMMYFUNCTION("""COMPUTED_VALUE"""),148.02857142857144)</f>
        <v>148.0285714</v>
      </c>
      <c r="G513" s="21">
        <f>IFERROR(__xludf.DUMMYFUNCTION("""COMPUTED_VALUE"""),91.98)</f>
        <v>91.98</v>
      </c>
    </row>
    <row r="514">
      <c r="A514" s="23">
        <f>IFERROR(__xludf.DUMMYFUNCTION("""COMPUTED_VALUE"""),45074.0)</f>
        <v>45074</v>
      </c>
      <c r="B514" s="21">
        <f>IFERROR(__xludf.DUMMYFUNCTION("""COMPUTED_VALUE"""),213.05)</f>
        <v>213.05</v>
      </c>
      <c r="C514" s="22">
        <f>IFERROR(__xludf.DUMMYFUNCTION("""COMPUTED_VALUE"""),168.2)</f>
        <v>168.2</v>
      </c>
      <c r="D514" s="22">
        <f>IFERROR(__xludf.DUMMYFUNCTION("""COMPUTED_VALUE"""),301.74)</f>
        <v>301.74</v>
      </c>
      <c r="E514" s="21">
        <f>IFERROR(__xludf.DUMMYFUNCTION("""COMPUTED_VALUE"""),93.86242857142858)</f>
        <v>93.86242857</v>
      </c>
      <c r="F514" s="21">
        <f>IFERROR(__xludf.DUMMYFUNCTION("""COMPUTED_VALUE"""),146.58)</f>
        <v>146.58</v>
      </c>
      <c r="G514" s="21">
        <f>IFERROR(__xludf.DUMMYFUNCTION("""COMPUTED_VALUE"""),91.98)</f>
        <v>91.98</v>
      </c>
    </row>
    <row r="515">
      <c r="A515" s="23">
        <f>IFERROR(__xludf.DUMMYFUNCTION("""COMPUTED_VALUE"""),45075.0)</f>
        <v>45075</v>
      </c>
      <c r="B515" s="21">
        <f>IFERROR(__xludf.DUMMYFUNCTION("""COMPUTED_VALUE"""),213.05)</f>
        <v>213.05</v>
      </c>
      <c r="C515" s="22">
        <f>IFERROR(__xludf.DUMMYFUNCTION("""COMPUTED_VALUE"""),168.2)</f>
        <v>168.2</v>
      </c>
      <c r="D515" s="22">
        <f>IFERROR(__xludf.DUMMYFUNCTION("""COMPUTED_VALUE"""),301.74)</f>
        <v>301.74</v>
      </c>
      <c r="E515" s="21">
        <f>IFERROR(__xludf.DUMMYFUNCTION("""COMPUTED_VALUE"""),90.9872857142857)</f>
        <v>90.98728571</v>
      </c>
      <c r="F515" s="21">
        <f>IFERROR(__xludf.DUMMYFUNCTION("""COMPUTED_VALUE"""),144.26142857142858)</f>
        <v>144.2614286</v>
      </c>
      <c r="G515" s="21">
        <f>IFERROR(__xludf.DUMMYFUNCTION("""COMPUTED_VALUE"""),91.98)</f>
        <v>91.98</v>
      </c>
    </row>
    <row r="516">
      <c r="A516" s="23">
        <f>IFERROR(__xludf.DUMMYFUNCTION("""COMPUTED_VALUE"""),45076.0)</f>
        <v>45076</v>
      </c>
      <c r="B516" s="21">
        <f>IFERROR(__xludf.DUMMYFUNCTION("""COMPUTED_VALUE"""),213.05)</f>
        <v>213.05</v>
      </c>
      <c r="C516" s="22">
        <f>IFERROR(__xludf.DUMMYFUNCTION("""COMPUTED_VALUE"""),168.2)</f>
        <v>168.2</v>
      </c>
      <c r="D516" s="22">
        <f>IFERROR(__xludf.DUMMYFUNCTION("""COMPUTED_VALUE"""),301.74)</f>
        <v>301.74</v>
      </c>
      <c r="E516" s="21">
        <f>IFERROR(__xludf.DUMMYFUNCTION("""COMPUTED_VALUE"""),88.90442857142857)</f>
        <v>88.90442857</v>
      </c>
      <c r="F516" s="21">
        <f>IFERROR(__xludf.DUMMYFUNCTION("""COMPUTED_VALUE"""),141.94285714285715)</f>
        <v>141.9428571</v>
      </c>
      <c r="G516" s="21">
        <f>IFERROR(__xludf.DUMMYFUNCTION("""COMPUTED_VALUE"""),91.98)</f>
        <v>91.98</v>
      </c>
    </row>
    <row r="517">
      <c r="A517" s="23">
        <f>IFERROR(__xludf.DUMMYFUNCTION("""COMPUTED_VALUE"""),45077.0)</f>
        <v>45077</v>
      </c>
      <c r="B517" s="21">
        <f>IFERROR(__xludf.DUMMYFUNCTION("""COMPUTED_VALUE"""),213.05)</f>
        <v>213.05</v>
      </c>
      <c r="C517" s="22">
        <f>IFERROR(__xludf.DUMMYFUNCTION("""COMPUTED_VALUE"""),168.2)</f>
        <v>168.2</v>
      </c>
      <c r="D517" s="22">
        <f>IFERROR(__xludf.DUMMYFUNCTION("""COMPUTED_VALUE"""),301.74)</f>
        <v>301.74</v>
      </c>
      <c r="E517" s="21">
        <f>IFERROR(__xludf.DUMMYFUNCTION("""COMPUTED_VALUE"""),86.76014285714287)</f>
        <v>86.76014286</v>
      </c>
      <c r="F517" s="21">
        <f>IFERROR(__xludf.DUMMYFUNCTION("""COMPUTED_VALUE"""),139.62428571428572)</f>
        <v>139.6242857</v>
      </c>
      <c r="G517" s="21">
        <f>IFERROR(__xludf.DUMMYFUNCTION("""COMPUTED_VALUE"""),91.98)</f>
        <v>91.98</v>
      </c>
    </row>
    <row r="518">
      <c r="A518" s="23">
        <f>IFERROR(__xludf.DUMMYFUNCTION("""COMPUTED_VALUE"""),45078.0)</f>
        <v>45078</v>
      </c>
      <c r="B518" s="21">
        <f>IFERROR(__xludf.DUMMYFUNCTION("""COMPUTED_VALUE"""),213.05)</f>
        <v>213.05</v>
      </c>
      <c r="C518" s="22">
        <f>IFERROR(__xludf.DUMMYFUNCTION("""COMPUTED_VALUE"""),168.2)</f>
        <v>168.2</v>
      </c>
      <c r="D518" s="22">
        <f>IFERROR(__xludf.DUMMYFUNCTION("""COMPUTED_VALUE"""),301.74)</f>
        <v>301.74</v>
      </c>
      <c r="E518" s="21">
        <f>IFERROR(__xludf.DUMMYFUNCTION("""COMPUTED_VALUE"""),85.94585714285712)</f>
        <v>85.94585714</v>
      </c>
      <c r="F518" s="21">
        <f>IFERROR(__xludf.DUMMYFUNCTION("""COMPUTED_VALUE"""),137.3057142857143)</f>
        <v>137.3057143</v>
      </c>
      <c r="G518" s="21">
        <f>IFERROR(__xludf.DUMMYFUNCTION("""COMPUTED_VALUE"""),91.98)</f>
        <v>91.98</v>
      </c>
    </row>
    <row r="519">
      <c r="A519" s="20">
        <f>IFERROR(__xludf.DUMMYFUNCTION("""COMPUTED_VALUE"""),45079.0)</f>
        <v>45079</v>
      </c>
      <c r="B519" s="21">
        <f>IFERROR(__xludf.DUMMYFUNCTION("""COMPUTED_VALUE"""),213.05)</f>
        <v>213.05</v>
      </c>
      <c r="C519" s="22">
        <f>IFERROR(__xludf.DUMMYFUNCTION("""COMPUTED_VALUE"""),168.2)</f>
        <v>168.2</v>
      </c>
      <c r="D519" s="22">
        <f>IFERROR(__xludf.DUMMYFUNCTION("""COMPUTED_VALUE"""),301.74)</f>
        <v>301.74</v>
      </c>
      <c r="E519" s="21">
        <f>IFERROR(__xludf.DUMMYFUNCTION("""COMPUTED_VALUE"""),84.39571428571428)</f>
        <v>84.39571429</v>
      </c>
      <c r="F519" s="21">
        <f>IFERROR(__xludf.DUMMYFUNCTION("""COMPUTED_VALUE"""),134.98714285714286)</f>
        <v>134.9871429</v>
      </c>
      <c r="G519" s="21">
        <f>IFERROR(__xludf.DUMMYFUNCTION("""COMPUTED_VALUE"""),91.98)</f>
        <v>91.98</v>
      </c>
    </row>
    <row r="520">
      <c r="A520" s="20">
        <f>IFERROR(__xludf.DUMMYFUNCTION("""COMPUTED_VALUE"""),45080.0)</f>
        <v>45080</v>
      </c>
      <c r="B520" s="21">
        <f>IFERROR(__xludf.DUMMYFUNCTION("""COMPUTED_VALUE"""),213.05)</f>
        <v>213.05</v>
      </c>
      <c r="C520" s="22">
        <f>IFERROR(__xludf.DUMMYFUNCTION("""COMPUTED_VALUE"""),168.2)</f>
        <v>168.2</v>
      </c>
      <c r="D520" s="22">
        <f>IFERROR(__xludf.DUMMYFUNCTION("""COMPUTED_VALUE"""),301.74)</f>
        <v>301.74</v>
      </c>
      <c r="E520" s="21">
        <f>IFERROR(__xludf.DUMMYFUNCTION("""COMPUTED_VALUE"""),85.0657142857143)</f>
        <v>85.06571429</v>
      </c>
      <c r="F520" s="21">
        <f>IFERROR(__xludf.DUMMYFUNCTION("""COMPUTED_VALUE"""),132.66857142857143)</f>
        <v>132.6685714</v>
      </c>
      <c r="G520" s="21">
        <f>IFERROR(__xludf.DUMMYFUNCTION("""COMPUTED_VALUE"""),91.98)</f>
        <v>91.98</v>
      </c>
    </row>
    <row r="521">
      <c r="A521" s="20">
        <f>IFERROR(__xludf.DUMMYFUNCTION("""COMPUTED_VALUE"""),45081.0)</f>
        <v>45081</v>
      </c>
      <c r="B521" s="21">
        <f>IFERROR(__xludf.DUMMYFUNCTION("""COMPUTED_VALUE"""),213.05)</f>
        <v>213.05</v>
      </c>
      <c r="C521" s="22">
        <f>IFERROR(__xludf.DUMMYFUNCTION("""COMPUTED_VALUE"""),168.2)</f>
        <v>168.2</v>
      </c>
      <c r="D521" s="22">
        <f>IFERROR(__xludf.DUMMYFUNCTION("""COMPUTED_VALUE"""),301.74)</f>
        <v>301.74</v>
      </c>
      <c r="E521" s="21">
        <f>IFERROR(__xludf.DUMMYFUNCTION("""COMPUTED_VALUE"""),84.57142857142857)</f>
        <v>84.57142857</v>
      </c>
      <c r="F521" s="21">
        <f>IFERROR(__xludf.DUMMYFUNCTION("""COMPUTED_VALUE"""),130.35)</f>
        <v>130.35</v>
      </c>
      <c r="G521" s="21">
        <f>IFERROR(__xludf.DUMMYFUNCTION("""COMPUTED_VALUE"""),91.98)</f>
        <v>91.98</v>
      </c>
    </row>
    <row r="522">
      <c r="A522" s="20">
        <f>IFERROR(__xludf.DUMMYFUNCTION("""COMPUTED_VALUE"""),45082.0)</f>
        <v>45082</v>
      </c>
      <c r="B522" s="21">
        <f>IFERROR(__xludf.DUMMYFUNCTION("""COMPUTED_VALUE"""),213.05)</f>
        <v>213.05</v>
      </c>
      <c r="C522" s="22">
        <f>IFERROR(__xludf.DUMMYFUNCTION("""COMPUTED_VALUE"""),168.2)</f>
        <v>168.2</v>
      </c>
      <c r="D522" s="22">
        <f>IFERROR(__xludf.DUMMYFUNCTION("""COMPUTED_VALUE"""),301.74)</f>
        <v>301.74</v>
      </c>
      <c r="E522" s="21">
        <f>IFERROR(__xludf.DUMMYFUNCTION("""COMPUTED_VALUE"""),86.18999999999998)</f>
        <v>86.19</v>
      </c>
      <c r="F522" s="21">
        <f>IFERROR(__xludf.DUMMYFUNCTION("""COMPUTED_VALUE"""),129.16714285714286)</f>
        <v>129.1671429</v>
      </c>
      <c r="G522" s="21">
        <f>IFERROR(__xludf.DUMMYFUNCTION("""COMPUTED_VALUE"""),91.98)</f>
        <v>91.98</v>
      </c>
    </row>
    <row r="523">
      <c r="A523" s="20">
        <f>IFERROR(__xludf.DUMMYFUNCTION("""COMPUTED_VALUE"""),45083.0)</f>
        <v>45083</v>
      </c>
      <c r="B523" s="21">
        <f>IFERROR(__xludf.DUMMYFUNCTION("""COMPUTED_VALUE"""),213.05)</f>
        <v>213.05</v>
      </c>
      <c r="C523" s="22">
        <f>IFERROR(__xludf.DUMMYFUNCTION("""COMPUTED_VALUE"""),168.2)</f>
        <v>168.2</v>
      </c>
      <c r="D523" s="22">
        <f>IFERROR(__xludf.DUMMYFUNCTION("""COMPUTED_VALUE"""),301.74)</f>
        <v>301.74</v>
      </c>
      <c r="E523" s="21">
        <f>IFERROR(__xludf.DUMMYFUNCTION("""COMPUTED_VALUE"""),85.56142857142856)</f>
        <v>85.56142857</v>
      </c>
      <c r="F523" s="21">
        <f>IFERROR(__xludf.DUMMYFUNCTION("""COMPUTED_VALUE"""),127.98428571428569)</f>
        <v>127.9842857</v>
      </c>
      <c r="G523" s="21">
        <f>IFERROR(__xludf.DUMMYFUNCTION("""COMPUTED_VALUE"""),91.98)</f>
        <v>91.98</v>
      </c>
    </row>
    <row r="524">
      <c r="A524" s="20">
        <f>IFERROR(__xludf.DUMMYFUNCTION("""COMPUTED_VALUE"""),45084.0)</f>
        <v>45084</v>
      </c>
      <c r="B524" s="21">
        <f>IFERROR(__xludf.DUMMYFUNCTION("""COMPUTED_VALUE"""),213.05)</f>
        <v>213.05</v>
      </c>
      <c r="C524" s="22">
        <f>IFERROR(__xludf.DUMMYFUNCTION("""COMPUTED_VALUE"""),168.2)</f>
        <v>168.2</v>
      </c>
      <c r="D524" s="22">
        <f>IFERROR(__xludf.DUMMYFUNCTION("""COMPUTED_VALUE"""),301.74)</f>
        <v>301.74</v>
      </c>
      <c r="E524" s="21">
        <f>IFERROR(__xludf.DUMMYFUNCTION("""COMPUTED_VALUE"""),85.70857142857143)</f>
        <v>85.70857143</v>
      </c>
      <c r="F524" s="21">
        <f>IFERROR(__xludf.DUMMYFUNCTION("""COMPUTED_VALUE"""),126.80142857142856)</f>
        <v>126.8014286</v>
      </c>
      <c r="G524" s="21">
        <f>IFERROR(__xludf.DUMMYFUNCTION("""COMPUTED_VALUE"""),91.98)</f>
        <v>91.98</v>
      </c>
    </row>
    <row r="525">
      <c r="A525" s="20">
        <f>IFERROR(__xludf.DUMMYFUNCTION("""COMPUTED_VALUE"""),45085.0)</f>
        <v>45085</v>
      </c>
      <c r="B525" s="21">
        <f>IFERROR(__xludf.DUMMYFUNCTION("""COMPUTED_VALUE"""),213.05)</f>
        <v>213.05</v>
      </c>
      <c r="C525" s="22">
        <f>IFERROR(__xludf.DUMMYFUNCTION("""COMPUTED_VALUE"""),168.2)</f>
        <v>168.2</v>
      </c>
      <c r="D525" s="22">
        <f>IFERROR(__xludf.DUMMYFUNCTION("""COMPUTED_VALUE"""),301.74)</f>
        <v>301.74</v>
      </c>
      <c r="E525" s="21">
        <f>IFERROR(__xludf.DUMMYFUNCTION("""COMPUTED_VALUE"""),84.85000000000001)</f>
        <v>84.85</v>
      </c>
      <c r="F525" s="21">
        <f>IFERROR(__xludf.DUMMYFUNCTION("""COMPUTED_VALUE"""),125.61857142857139)</f>
        <v>125.6185714</v>
      </c>
      <c r="G525" s="21">
        <f>IFERROR(__xludf.DUMMYFUNCTION("""COMPUTED_VALUE"""),91.98)</f>
        <v>91.98</v>
      </c>
    </row>
    <row r="526">
      <c r="A526" s="20">
        <f>IFERROR(__xludf.DUMMYFUNCTION("""COMPUTED_VALUE"""),45086.0)</f>
        <v>45086</v>
      </c>
      <c r="B526" s="21">
        <f>IFERROR(__xludf.DUMMYFUNCTION("""COMPUTED_VALUE"""),213.05)</f>
        <v>213.05</v>
      </c>
      <c r="C526" s="22">
        <f>IFERROR(__xludf.DUMMYFUNCTION("""COMPUTED_VALUE"""),168.2)</f>
        <v>168.2</v>
      </c>
      <c r="D526" s="22">
        <f>IFERROR(__xludf.DUMMYFUNCTION("""COMPUTED_VALUE"""),301.74)</f>
        <v>301.74</v>
      </c>
      <c r="E526" s="21">
        <f>IFERROR(__xludf.DUMMYFUNCTION("""COMPUTED_VALUE"""),86.27571428571427)</f>
        <v>86.27571429</v>
      </c>
      <c r="F526" s="21">
        <f>IFERROR(__xludf.DUMMYFUNCTION("""COMPUTED_VALUE"""),124.43571428571428)</f>
        <v>124.4357143</v>
      </c>
      <c r="G526" s="21">
        <f>IFERROR(__xludf.DUMMYFUNCTION("""COMPUTED_VALUE"""),91.98)</f>
        <v>91.98</v>
      </c>
    </row>
    <row r="527">
      <c r="A527" s="20">
        <f>IFERROR(__xludf.DUMMYFUNCTION("""COMPUTED_VALUE"""),45087.0)</f>
        <v>45087</v>
      </c>
      <c r="B527" s="21">
        <f>IFERROR(__xludf.DUMMYFUNCTION("""COMPUTED_VALUE"""),213.05)</f>
        <v>213.05</v>
      </c>
      <c r="C527" s="22">
        <f>IFERROR(__xludf.DUMMYFUNCTION("""COMPUTED_VALUE"""),168.2)</f>
        <v>168.2</v>
      </c>
      <c r="D527" s="22">
        <f>IFERROR(__xludf.DUMMYFUNCTION("""COMPUTED_VALUE"""),301.74)</f>
        <v>301.74</v>
      </c>
      <c r="E527" s="21">
        <f>IFERROR(__xludf.DUMMYFUNCTION("""COMPUTED_VALUE"""),89.69285714285715)</f>
        <v>89.69285714</v>
      </c>
      <c r="F527" s="21">
        <f>IFERROR(__xludf.DUMMYFUNCTION("""COMPUTED_VALUE"""),123.25285714285714)</f>
        <v>123.2528571</v>
      </c>
      <c r="G527" s="21">
        <f>IFERROR(__xludf.DUMMYFUNCTION("""COMPUTED_VALUE"""),91.98)</f>
        <v>91.98</v>
      </c>
    </row>
    <row r="528">
      <c r="A528" s="20">
        <f>IFERROR(__xludf.DUMMYFUNCTION("""COMPUTED_VALUE"""),45088.0)</f>
        <v>45088</v>
      </c>
      <c r="B528" s="21">
        <f>IFERROR(__xludf.DUMMYFUNCTION("""COMPUTED_VALUE"""),213.05)</f>
        <v>213.05</v>
      </c>
      <c r="C528" s="22">
        <f>IFERROR(__xludf.DUMMYFUNCTION("""COMPUTED_VALUE"""),168.2)</f>
        <v>168.2</v>
      </c>
      <c r="D528" s="22">
        <f>IFERROR(__xludf.DUMMYFUNCTION("""COMPUTED_VALUE"""),301.74)</f>
        <v>301.74</v>
      </c>
      <c r="E528" s="21">
        <f>IFERROR(__xludf.DUMMYFUNCTION("""COMPUTED_VALUE"""),94.50857142857144)</f>
        <v>94.50857143</v>
      </c>
      <c r="F528" s="21">
        <f>IFERROR(__xludf.DUMMYFUNCTION("""COMPUTED_VALUE"""),122.06999999999996)</f>
        <v>122.07</v>
      </c>
      <c r="G528" s="21">
        <f>IFERROR(__xludf.DUMMYFUNCTION("""COMPUTED_VALUE"""),91.98)</f>
        <v>91.98</v>
      </c>
    </row>
    <row r="529">
      <c r="A529" s="20">
        <f>IFERROR(__xludf.DUMMYFUNCTION("""COMPUTED_VALUE"""),45089.0)</f>
        <v>45089</v>
      </c>
      <c r="B529" s="21">
        <f>IFERROR(__xludf.DUMMYFUNCTION("""COMPUTED_VALUE"""),200.18)</f>
        <v>200.18</v>
      </c>
      <c r="C529" s="22">
        <f>IFERROR(__xludf.DUMMYFUNCTION("""COMPUTED_VALUE"""),151.17)</f>
        <v>151.17</v>
      </c>
      <c r="D529" s="22">
        <f>IFERROR(__xludf.DUMMYFUNCTION("""COMPUTED_VALUE"""),294.8)</f>
        <v>294.8</v>
      </c>
      <c r="E529" s="21">
        <f>IFERROR(__xludf.DUMMYFUNCTION("""COMPUTED_VALUE"""),95.14428571428572)</f>
        <v>95.14428571</v>
      </c>
      <c r="F529" s="21">
        <f>IFERROR(__xludf.DUMMYFUNCTION("""COMPUTED_VALUE"""),123.35285714285712)</f>
        <v>123.3528571</v>
      </c>
      <c r="G529" s="21">
        <f>IFERROR(__xludf.DUMMYFUNCTION("""COMPUTED_VALUE"""),91.98)</f>
        <v>91.98</v>
      </c>
    </row>
    <row r="530">
      <c r="A530" s="20">
        <f>IFERROR(__xludf.DUMMYFUNCTION("""COMPUTED_VALUE"""),45090.0)</f>
        <v>45090</v>
      </c>
      <c r="B530" s="21">
        <f>IFERROR(__xludf.DUMMYFUNCTION("""COMPUTED_VALUE"""),200.18)</f>
        <v>200.18</v>
      </c>
      <c r="C530" s="22">
        <f>IFERROR(__xludf.DUMMYFUNCTION("""COMPUTED_VALUE"""),151.17)</f>
        <v>151.17</v>
      </c>
      <c r="D530" s="22">
        <f>IFERROR(__xludf.DUMMYFUNCTION("""COMPUTED_VALUE"""),294.8)</f>
        <v>294.8</v>
      </c>
      <c r="E530" s="21">
        <f>IFERROR(__xludf.DUMMYFUNCTION("""COMPUTED_VALUE"""),97.36714285714285)</f>
        <v>97.36714286</v>
      </c>
      <c r="F530" s="21">
        <f>IFERROR(__xludf.DUMMYFUNCTION("""COMPUTED_VALUE"""),124.63571428571426)</f>
        <v>124.6357143</v>
      </c>
      <c r="G530" s="21">
        <f>IFERROR(__xludf.DUMMYFUNCTION("""COMPUTED_VALUE"""),91.98)</f>
        <v>91.98</v>
      </c>
    </row>
    <row r="531">
      <c r="A531" s="23">
        <f>IFERROR(__xludf.DUMMYFUNCTION("""COMPUTED_VALUE"""),45091.0)</f>
        <v>45091</v>
      </c>
      <c r="B531" s="21">
        <f>IFERROR(__xludf.DUMMYFUNCTION("""COMPUTED_VALUE"""),200.18)</f>
        <v>200.18</v>
      </c>
      <c r="C531" s="22">
        <f>IFERROR(__xludf.DUMMYFUNCTION("""COMPUTED_VALUE"""),151.17)</f>
        <v>151.17</v>
      </c>
      <c r="D531" s="22">
        <f>IFERROR(__xludf.DUMMYFUNCTION("""COMPUTED_VALUE"""),294.8)</f>
        <v>294.8</v>
      </c>
      <c r="E531" s="21">
        <f>IFERROR(__xludf.DUMMYFUNCTION("""COMPUTED_VALUE"""),99.51428571428572)</f>
        <v>99.51428571</v>
      </c>
      <c r="F531" s="21">
        <f>IFERROR(__xludf.DUMMYFUNCTION("""COMPUTED_VALUE"""),125.91857142857141)</f>
        <v>125.9185714</v>
      </c>
      <c r="G531" s="21">
        <f>IFERROR(__xludf.DUMMYFUNCTION("""COMPUTED_VALUE"""),91.98)</f>
        <v>91.98</v>
      </c>
    </row>
    <row r="532">
      <c r="A532" s="23">
        <f>IFERROR(__xludf.DUMMYFUNCTION("""COMPUTED_VALUE"""),45092.0)</f>
        <v>45092</v>
      </c>
      <c r="B532" s="21">
        <f>IFERROR(__xludf.DUMMYFUNCTION("""COMPUTED_VALUE"""),200.18)</f>
        <v>200.18</v>
      </c>
      <c r="C532" s="22">
        <f>IFERROR(__xludf.DUMMYFUNCTION("""COMPUTED_VALUE"""),151.17)</f>
        <v>151.17</v>
      </c>
      <c r="D532" s="22">
        <f>IFERROR(__xludf.DUMMYFUNCTION("""COMPUTED_VALUE"""),294.8)</f>
        <v>294.8</v>
      </c>
      <c r="E532" s="21">
        <f>IFERROR(__xludf.DUMMYFUNCTION("""COMPUTED_VALUE"""),102.75714285714287)</f>
        <v>102.7571429</v>
      </c>
      <c r="F532" s="21">
        <f>IFERROR(__xludf.DUMMYFUNCTION("""COMPUTED_VALUE"""),127.20142857142855)</f>
        <v>127.2014286</v>
      </c>
      <c r="G532" s="21">
        <f>IFERROR(__xludf.DUMMYFUNCTION("""COMPUTED_VALUE"""),91.98)</f>
        <v>91.98</v>
      </c>
    </row>
    <row r="533">
      <c r="A533" s="23">
        <f>IFERROR(__xludf.DUMMYFUNCTION("""COMPUTED_VALUE"""),45093.0)</f>
        <v>45093</v>
      </c>
      <c r="B533" s="21">
        <f>IFERROR(__xludf.DUMMYFUNCTION("""COMPUTED_VALUE"""),200.18)</f>
        <v>200.18</v>
      </c>
      <c r="C533" s="22">
        <f>IFERROR(__xludf.DUMMYFUNCTION("""COMPUTED_VALUE"""),151.17)</f>
        <v>151.17</v>
      </c>
      <c r="D533" s="22">
        <f>IFERROR(__xludf.DUMMYFUNCTION("""COMPUTED_VALUE"""),294.8)</f>
        <v>294.8</v>
      </c>
      <c r="E533" s="21">
        <f>IFERROR(__xludf.DUMMYFUNCTION("""COMPUTED_VALUE"""),106.85285714285715)</f>
        <v>106.8528571</v>
      </c>
      <c r="F533" s="21">
        <f>IFERROR(__xludf.DUMMYFUNCTION("""COMPUTED_VALUE"""),128.4842857142857)</f>
        <v>128.4842857</v>
      </c>
      <c r="G533" s="21">
        <f>IFERROR(__xludf.DUMMYFUNCTION("""COMPUTED_VALUE"""),91.98)</f>
        <v>91.98</v>
      </c>
    </row>
    <row r="534">
      <c r="A534" s="23">
        <f>IFERROR(__xludf.DUMMYFUNCTION("""COMPUTED_VALUE"""),45094.0)</f>
        <v>45094</v>
      </c>
      <c r="B534" s="21">
        <f>IFERROR(__xludf.DUMMYFUNCTION("""COMPUTED_VALUE"""),200.18)</f>
        <v>200.18</v>
      </c>
      <c r="C534" s="22">
        <f>IFERROR(__xludf.DUMMYFUNCTION("""COMPUTED_VALUE"""),151.17)</f>
        <v>151.17</v>
      </c>
      <c r="D534" s="22">
        <f>IFERROR(__xludf.DUMMYFUNCTION("""COMPUTED_VALUE"""),294.8)</f>
        <v>294.8</v>
      </c>
      <c r="E534" s="21">
        <f>IFERROR(__xludf.DUMMYFUNCTION("""COMPUTED_VALUE"""),107.76142857142858)</f>
        <v>107.7614286</v>
      </c>
      <c r="F534" s="21">
        <f>IFERROR(__xludf.DUMMYFUNCTION("""COMPUTED_VALUE"""),129.76714285714283)</f>
        <v>129.7671429</v>
      </c>
      <c r="G534" s="21">
        <f>IFERROR(__xludf.DUMMYFUNCTION("""COMPUTED_VALUE"""),91.98)</f>
        <v>91.98</v>
      </c>
    </row>
    <row r="535">
      <c r="A535" s="23">
        <f>IFERROR(__xludf.DUMMYFUNCTION("""COMPUTED_VALUE"""),45095.0)</f>
        <v>45095</v>
      </c>
      <c r="B535" s="21">
        <f>IFERROR(__xludf.DUMMYFUNCTION("""COMPUTED_VALUE"""),200.18)</f>
        <v>200.18</v>
      </c>
      <c r="C535" s="22">
        <f>IFERROR(__xludf.DUMMYFUNCTION("""COMPUTED_VALUE"""),151.17)</f>
        <v>151.17</v>
      </c>
      <c r="D535" s="22">
        <f>IFERROR(__xludf.DUMMYFUNCTION("""COMPUTED_VALUE"""),294.8)</f>
        <v>294.8</v>
      </c>
      <c r="E535" s="21">
        <f>IFERROR(__xludf.DUMMYFUNCTION("""COMPUTED_VALUE"""),109.08428571428571)</f>
        <v>109.0842857</v>
      </c>
      <c r="F535" s="21">
        <f>IFERROR(__xludf.DUMMYFUNCTION("""COMPUTED_VALUE"""),131.04999999999998)</f>
        <v>131.05</v>
      </c>
      <c r="G535" s="21">
        <f>IFERROR(__xludf.DUMMYFUNCTION("""COMPUTED_VALUE"""),91.98)</f>
        <v>91.98</v>
      </c>
    </row>
    <row r="536">
      <c r="A536" s="23">
        <f>IFERROR(__xludf.DUMMYFUNCTION("""COMPUTED_VALUE"""),45096.0)</f>
        <v>45096</v>
      </c>
      <c r="B536" s="21">
        <f>IFERROR(__xludf.DUMMYFUNCTION("""COMPUTED_VALUE"""),200.18)</f>
        <v>200.18</v>
      </c>
      <c r="C536" s="22">
        <f>IFERROR(__xludf.DUMMYFUNCTION("""COMPUTED_VALUE"""),151.17)</f>
        <v>151.17</v>
      </c>
      <c r="D536" s="22">
        <f>IFERROR(__xludf.DUMMYFUNCTION("""COMPUTED_VALUE"""),294.8)</f>
        <v>294.8</v>
      </c>
      <c r="E536" s="21">
        <f>IFERROR(__xludf.DUMMYFUNCTION("""COMPUTED_VALUE"""),112.42428571428572)</f>
        <v>112.4242857</v>
      </c>
      <c r="F536" s="21">
        <f>IFERROR(__xludf.DUMMYFUNCTION("""COMPUTED_VALUE"""),134.0885714285714)</f>
        <v>134.0885714</v>
      </c>
      <c r="G536" s="21">
        <f>IFERROR(__xludf.DUMMYFUNCTION("""COMPUTED_VALUE"""),91.98)</f>
        <v>91.98</v>
      </c>
    </row>
    <row r="537">
      <c r="A537" s="23">
        <f>IFERROR(__xludf.DUMMYFUNCTION("""COMPUTED_VALUE"""),45097.0)</f>
        <v>45097</v>
      </c>
      <c r="B537" s="21">
        <f>IFERROR(__xludf.DUMMYFUNCTION("""COMPUTED_VALUE"""),200.18)</f>
        <v>200.18</v>
      </c>
      <c r="C537" s="22">
        <f>IFERROR(__xludf.DUMMYFUNCTION("""COMPUTED_VALUE"""),151.17)</f>
        <v>151.17</v>
      </c>
      <c r="D537" s="22">
        <f>IFERROR(__xludf.DUMMYFUNCTION("""COMPUTED_VALUE"""),294.8)</f>
        <v>294.8</v>
      </c>
      <c r="E537" s="21">
        <f>IFERROR(__xludf.DUMMYFUNCTION("""COMPUTED_VALUE"""),114.39)</f>
        <v>114.39</v>
      </c>
      <c r="F537" s="21">
        <f>IFERROR(__xludf.DUMMYFUNCTION("""COMPUTED_VALUE"""),137.12714285714284)</f>
        <v>137.1271429</v>
      </c>
      <c r="G537" s="21">
        <f>IFERROR(__xludf.DUMMYFUNCTION("""COMPUTED_VALUE"""),91.98)</f>
        <v>91.98</v>
      </c>
    </row>
    <row r="538">
      <c r="A538" s="23">
        <f>IFERROR(__xludf.DUMMYFUNCTION("""COMPUTED_VALUE"""),45098.0)</f>
        <v>45098</v>
      </c>
      <c r="B538" s="21">
        <f>IFERROR(__xludf.DUMMYFUNCTION("""COMPUTED_VALUE"""),200.18)</f>
        <v>200.18</v>
      </c>
      <c r="C538" s="22">
        <f>IFERROR(__xludf.DUMMYFUNCTION("""COMPUTED_VALUE"""),151.17)</f>
        <v>151.17</v>
      </c>
      <c r="D538" s="22">
        <f>IFERROR(__xludf.DUMMYFUNCTION("""COMPUTED_VALUE"""),294.8)</f>
        <v>294.8</v>
      </c>
      <c r="E538" s="21">
        <f>IFERROR(__xludf.DUMMYFUNCTION("""COMPUTED_VALUE"""),117.44285714285716)</f>
        <v>117.4428571</v>
      </c>
      <c r="F538" s="21">
        <f>IFERROR(__xludf.DUMMYFUNCTION("""COMPUTED_VALUE"""),140.16571428571427)</f>
        <v>140.1657143</v>
      </c>
      <c r="G538" s="21">
        <f>IFERROR(__xludf.DUMMYFUNCTION("""COMPUTED_VALUE"""),91.98)</f>
        <v>91.98</v>
      </c>
    </row>
    <row r="539">
      <c r="A539" s="23">
        <f>IFERROR(__xludf.DUMMYFUNCTION("""COMPUTED_VALUE"""),45099.0)</f>
        <v>45099</v>
      </c>
      <c r="B539" s="21">
        <f>IFERROR(__xludf.DUMMYFUNCTION("""COMPUTED_VALUE"""),200.18)</f>
        <v>200.18</v>
      </c>
      <c r="C539" s="22">
        <f>IFERROR(__xludf.DUMMYFUNCTION("""COMPUTED_VALUE"""),151.17)</f>
        <v>151.17</v>
      </c>
      <c r="D539" s="22">
        <f>IFERROR(__xludf.DUMMYFUNCTION("""COMPUTED_VALUE"""),294.8)</f>
        <v>294.8</v>
      </c>
      <c r="E539" s="21">
        <f>IFERROR(__xludf.DUMMYFUNCTION("""COMPUTED_VALUE"""),119.86142857142856)</f>
        <v>119.8614286</v>
      </c>
      <c r="F539" s="21">
        <f>IFERROR(__xludf.DUMMYFUNCTION("""COMPUTED_VALUE"""),143.2042857142857)</f>
        <v>143.2042857</v>
      </c>
      <c r="G539" s="21">
        <f>IFERROR(__xludf.DUMMYFUNCTION("""COMPUTED_VALUE"""),91.98)</f>
        <v>91.98</v>
      </c>
    </row>
    <row r="540">
      <c r="A540" s="23">
        <f>IFERROR(__xludf.DUMMYFUNCTION("""COMPUTED_VALUE"""),45100.0)</f>
        <v>45100</v>
      </c>
      <c r="B540" s="21">
        <f>IFERROR(__xludf.DUMMYFUNCTION("""COMPUTED_VALUE"""),200.18)</f>
        <v>200.18</v>
      </c>
      <c r="C540" s="22">
        <f>IFERROR(__xludf.DUMMYFUNCTION("""COMPUTED_VALUE"""),151.17)</f>
        <v>151.17</v>
      </c>
      <c r="D540" s="22">
        <f>IFERROR(__xludf.DUMMYFUNCTION("""COMPUTED_VALUE"""),294.8)</f>
        <v>294.8</v>
      </c>
      <c r="E540" s="21">
        <f>IFERROR(__xludf.DUMMYFUNCTION("""COMPUTED_VALUE"""),119.95142857142856)</f>
        <v>119.9514286</v>
      </c>
      <c r="F540" s="21">
        <f>IFERROR(__xludf.DUMMYFUNCTION("""COMPUTED_VALUE"""),146.2428571428571)</f>
        <v>146.2428571</v>
      </c>
      <c r="G540" s="21">
        <f>IFERROR(__xludf.DUMMYFUNCTION("""COMPUTED_VALUE"""),91.98)</f>
        <v>91.98</v>
      </c>
    </row>
    <row r="541">
      <c r="A541" s="23">
        <f>IFERROR(__xludf.DUMMYFUNCTION("""COMPUTED_VALUE"""),45101.0)</f>
        <v>45101</v>
      </c>
      <c r="B541" s="21">
        <f>IFERROR(__xludf.DUMMYFUNCTION("""COMPUTED_VALUE"""),200.18)</f>
        <v>200.18</v>
      </c>
      <c r="C541" s="22">
        <f>IFERROR(__xludf.DUMMYFUNCTION("""COMPUTED_VALUE"""),151.17)</f>
        <v>151.17</v>
      </c>
      <c r="D541" s="22">
        <f>IFERROR(__xludf.DUMMYFUNCTION("""COMPUTED_VALUE"""),294.8)</f>
        <v>294.8</v>
      </c>
      <c r="E541" s="21">
        <f>IFERROR(__xludf.DUMMYFUNCTION("""COMPUTED_VALUE"""),120.99285714285715)</f>
        <v>120.9928571</v>
      </c>
      <c r="F541" s="21">
        <f>IFERROR(__xludf.DUMMYFUNCTION("""COMPUTED_VALUE"""),149.28142857142853)</f>
        <v>149.2814286</v>
      </c>
      <c r="G541" s="21">
        <f>IFERROR(__xludf.DUMMYFUNCTION("""COMPUTED_VALUE"""),91.98)</f>
        <v>91.98</v>
      </c>
    </row>
    <row r="542">
      <c r="A542" s="23">
        <f>IFERROR(__xludf.DUMMYFUNCTION("""COMPUTED_VALUE"""),45102.0)</f>
        <v>45102</v>
      </c>
      <c r="B542" s="21">
        <f>IFERROR(__xludf.DUMMYFUNCTION("""COMPUTED_VALUE"""),200.18)</f>
        <v>200.18</v>
      </c>
      <c r="C542" s="22">
        <f>IFERROR(__xludf.DUMMYFUNCTION("""COMPUTED_VALUE"""),151.17)</f>
        <v>151.17</v>
      </c>
      <c r="D542" s="22">
        <f>IFERROR(__xludf.DUMMYFUNCTION("""COMPUTED_VALUE"""),294.8)</f>
        <v>294.8</v>
      </c>
      <c r="E542" s="21">
        <f>IFERROR(__xludf.DUMMYFUNCTION("""COMPUTED_VALUE"""),120.09857142857143)</f>
        <v>120.0985714</v>
      </c>
      <c r="F542" s="21">
        <f>IFERROR(__xludf.DUMMYFUNCTION("""COMPUTED_VALUE"""),152.31999999999996)</f>
        <v>152.32</v>
      </c>
      <c r="G542" s="21">
        <f>IFERROR(__xludf.DUMMYFUNCTION("""COMPUTED_VALUE"""),91.98)</f>
        <v>91.98</v>
      </c>
    </row>
    <row r="543">
      <c r="A543" s="23">
        <f>IFERROR(__xludf.DUMMYFUNCTION("""COMPUTED_VALUE"""),45103.0)</f>
        <v>45103</v>
      </c>
      <c r="B543" s="21">
        <f>IFERROR(__xludf.DUMMYFUNCTION("""COMPUTED_VALUE"""),199.18)</f>
        <v>199.18</v>
      </c>
      <c r="C543" s="22">
        <f>IFERROR(__xludf.DUMMYFUNCTION("""COMPUTED_VALUE"""),153.13)</f>
        <v>153.13</v>
      </c>
      <c r="D543" s="22">
        <f>IFERROR(__xludf.DUMMYFUNCTION("""COMPUTED_VALUE"""),294.8)</f>
        <v>294.8</v>
      </c>
      <c r="E543" s="21">
        <f>IFERROR(__xludf.DUMMYFUNCTION("""COMPUTED_VALUE"""),118.74428571428572)</f>
        <v>118.7442857</v>
      </c>
      <c r="F543" s="21">
        <f>IFERROR(__xludf.DUMMYFUNCTION("""COMPUTED_VALUE"""),150.81285714285713)</f>
        <v>150.8128571</v>
      </c>
      <c r="G543" s="21">
        <f>IFERROR(__xludf.DUMMYFUNCTION("""COMPUTED_VALUE"""),91.98)</f>
        <v>91.98</v>
      </c>
    </row>
    <row r="544">
      <c r="A544" s="23">
        <f>IFERROR(__xludf.DUMMYFUNCTION("""COMPUTED_VALUE"""),45104.0)</f>
        <v>45104</v>
      </c>
      <c r="B544" s="21">
        <f>IFERROR(__xludf.DUMMYFUNCTION("""COMPUTED_VALUE"""),199.18)</f>
        <v>199.18</v>
      </c>
      <c r="C544" s="22">
        <f>IFERROR(__xludf.DUMMYFUNCTION("""COMPUTED_VALUE"""),153.13)</f>
        <v>153.13</v>
      </c>
      <c r="D544" s="22">
        <f>IFERROR(__xludf.DUMMYFUNCTION("""COMPUTED_VALUE"""),294.8)</f>
        <v>294.8</v>
      </c>
      <c r="E544" s="21">
        <f>IFERROR(__xludf.DUMMYFUNCTION("""COMPUTED_VALUE"""),118.73857142857143)</f>
        <v>118.7385714</v>
      </c>
      <c r="F544" s="21">
        <f>IFERROR(__xludf.DUMMYFUNCTION("""COMPUTED_VALUE"""),149.30571428571426)</f>
        <v>149.3057143</v>
      </c>
      <c r="G544" s="21">
        <f>IFERROR(__xludf.DUMMYFUNCTION("""COMPUTED_VALUE"""),91.98)</f>
        <v>91.98</v>
      </c>
    </row>
    <row r="545">
      <c r="A545" s="23">
        <f>IFERROR(__xludf.DUMMYFUNCTION("""COMPUTED_VALUE"""),45105.0)</f>
        <v>45105</v>
      </c>
      <c r="B545" s="21">
        <f>IFERROR(__xludf.DUMMYFUNCTION("""COMPUTED_VALUE"""),199.18)</f>
        <v>199.18</v>
      </c>
      <c r="C545" s="22">
        <f>IFERROR(__xludf.DUMMYFUNCTION("""COMPUTED_VALUE"""),153.13)</f>
        <v>153.13</v>
      </c>
      <c r="D545" s="22">
        <f>IFERROR(__xludf.DUMMYFUNCTION("""COMPUTED_VALUE"""),294.8)</f>
        <v>294.8</v>
      </c>
      <c r="E545" s="21">
        <f>IFERROR(__xludf.DUMMYFUNCTION("""COMPUTED_VALUE"""),117.34571428571428)</f>
        <v>117.3457143</v>
      </c>
      <c r="F545" s="21">
        <f>IFERROR(__xludf.DUMMYFUNCTION("""COMPUTED_VALUE"""),147.79857142857142)</f>
        <v>147.7985714</v>
      </c>
      <c r="G545" s="21">
        <f>IFERROR(__xludf.DUMMYFUNCTION("""COMPUTED_VALUE"""),91.98)</f>
        <v>91.98</v>
      </c>
    </row>
    <row r="546">
      <c r="A546" s="23">
        <f>IFERROR(__xludf.DUMMYFUNCTION("""COMPUTED_VALUE"""),45106.0)</f>
        <v>45106</v>
      </c>
      <c r="B546" s="21">
        <f>IFERROR(__xludf.DUMMYFUNCTION("""COMPUTED_VALUE"""),199.18)</f>
        <v>199.18</v>
      </c>
      <c r="C546" s="22">
        <f>IFERROR(__xludf.DUMMYFUNCTION("""COMPUTED_VALUE"""),153.13)</f>
        <v>153.13</v>
      </c>
      <c r="D546" s="22">
        <f>IFERROR(__xludf.DUMMYFUNCTION("""COMPUTED_VALUE"""),294.8)</f>
        <v>294.8</v>
      </c>
      <c r="E546" s="21">
        <f>IFERROR(__xludf.DUMMYFUNCTION("""COMPUTED_VALUE"""),116.24142857142859)</f>
        <v>116.2414286</v>
      </c>
      <c r="F546" s="21">
        <f>IFERROR(__xludf.DUMMYFUNCTION("""COMPUTED_VALUE"""),146.29142857142855)</f>
        <v>146.2914286</v>
      </c>
      <c r="G546" s="21">
        <f>IFERROR(__xludf.DUMMYFUNCTION("""COMPUTED_VALUE"""),91.98)</f>
        <v>91.98</v>
      </c>
    </row>
    <row r="547">
      <c r="A547" s="23">
        <f>IFERROR(__xludf.DUMMYFUNCTION("""COMPUTED_VALUE"""),45107.0)</f>
        <v>45107</v>
      </c>
      <c r="B547" s="21">
        <f>IFERROR(__xludf.DUMMYFUNCTION("""COMPUTED_VALUE"""),199.18)</f>
        <v>199.18</v>
      </c>
      <c r="C547" s="22">
        <f>IFERROR(__xludf.DUMMYFUNCTION("""COMPUTED_VALUE"""),153.13)</f>
        <v>153.13</v>
      </c>
      <c r="D547" s="22">
        <f>IFERROR(__xludf.DUMMYFUNCTION("""COMPUTED_VALUE"""),294.8)</f>
        <v>294.8</v>
      </c>
      <c r="E547" s="21">
        <f>IFERROR(__xludf.DUMMYFUNCTION("""COMPUTED_VALUE"""),116.13714285714286)</f>
        <v>116.1371429</v>
      </c>
      <c r="F547" s="21">
        <f>IFERROR(__xludf.DUMMYFUNCTION("""COMPUTED_VALUE"""),144.7842857142857)</f>
        <v>144.7842857</v>
      </c>
      <c r="G547" s="21">
        <f>IFERROR(__xludf.DUMMYFUNCTION("""COMPUTED_VALUE"""),91.98)</f>
        <v>91.98</v>
      </c>
    </row>
    <row r="548">
      <c r="A548" s="23">
        <f>IFERROR(__xludf.DUMMYFUNCTION("""COMPUTED_VALUE"""),45108.0)</f>
        <v>45108</v>
      </c>
      <c r="B548" s="21">
        <f>IFERROR(__xludf.DUMMYFUNCTION("""COMPUTED_VALUE"""),199.18)</f>
        <v>199.18</v>
      </c>
      <c r="C548" s="22">
        <f>IFERROR(__xludf.DUMMYFUNCTION("""COMPUTED_VALUE"""),153.13)</f>
        <v>153.13</v>
      </c>
      <c r="D548" s="22">
        <f>IFERROR(__xludf.DUMMYFUNCTION("""COMPUTED_VALUE"""),294.8)</f>
        <v>294.8</v>
      </c>
      <c r="E548" s="21">
        <f>IFERROR(__xludf.DUMMYFUNCTION("""COMPUTED_VALUE"""),114.64142857142856)</f>
        <v>114.6414286</v>
      </c>
      <c r="F548" s="21">
        <f>IFERROR(__xludf.DUMMYFUNCTION("""COMPUTED_VALUE"""),143.27714285714285)</f>
        <v>143.2771429</v>
      </c>
      <c r="G548" s="21">
        <f>IFERROR(__xludf.DUMMYFUNCTION("""COMPUTED_VALUE"""),95.83)</f>
        <v>95.83</v>
      </c>
    </row>
    <row r="549">
      <c r="A549" s="20">
        <f>IFERROR(__xludf.DUMMYFUNCTION("""COMPUTED_VALUE"""),45109.0)</f>
        <v>45109</v>
      </c>
      <c r="B549" s="21">
        <f>IFERROR(__xludf.DUMMYFUNCTION("""COMPUTED_VALUE"""),199.18)</f>
        <v>199.18</v>
      </c>
      <c r="C549" s="22">
        <f>IFERROR(__xludf.DUMMYFUNCTION("""COMPUTED_VALUE"""),153.13)</f>
        <v>153.13</v>
      </c>
      <c r="D549" s="22">
        <f>IFERROR(__xludf.DUMMYFUNCTION("""COMPUTED_VALUE"""),294.8)</f>
        <v>294.8</v>
      </c>
      <c r="E549" s="21">
        <f>IFERROR(__xludf.DUMMYFUNCTION("""COMPUTED_VALUE"""),116.51714285714286)</f>
        <v>116.5171429</v>
      </c>
      <c r="F549" s="21">
        <f>IFERROR(__xludf.DUMMYFUNCTION("""COMPUTED_VALUE"""),141.77)</f>
        <v>141.77</v>
      </c>
      <c r="G549" s="21">
        <f>IFERROR(__xludf.DUMMYFUNCTION("""COMPUTED_VALUE"""),95.83)</f>
        <v>95.83</v>
      </c>
    </row>
    <row r="550">
      <c r="A550" s="20">
        <f>IFERROR(__xludf.DUMMYFUNCTION("""COMPUTED_VALUE"""),45110.0)</f>
        <v>45110</v>
      </c>
      <c r="B550" s="21">
        <f>IFERROR(__xludf.DUMMYFUNCTION("""COMPUTED_VALUE"""),199.18)</f>
        <v>199.18</v>
      </c>
      <c r="C550" s="22">
        <f>IFERROR(__xludf.DUMMYFUNCTION("""COMPUTED_VALUE"""),153.13)</f>
        <v>153.13</v>
      </c>
      <c r="D550" s="22">
        <f>IFERROR(__xludf.DUMMYFUNCTION("""COMPUTED_VALUE"""),294.8)</f>
        <v>294.8</v>
      </c>
      <c r="E550" s="21">
        <f>IFERROR(__xludf.DUMMYFUNCTION("""COMPUTED_VALUE"""),116.42714285714285)</f>
        <v>116.4271429</v>
      </c>
      <c r="F550" s="21">
        <f>IFERROR(__xludf.DUMMYFUNCTION("""COMPUTED_VALUE"""),141.51749999999998)</f>
        <v>141.5175</v>
      </c>
      <c r="G550" s="21">
        <f>IFERROR(__xludf.DUMMYFUNCTION("""COMPUTED_VALUE"""),95.83)</f>
        <v>95.83</v>
      </c>
    </row>
    <row r="551">
      <c r="A551" s="20">
        <f>IFERROR(__xludf.DUMMYFUNCTION("""COMPUTED_VALUE"""),45111.0)</f>
        <v>45111</v>
      </c>
      <c r="B551" s="21">
        <f>IFERROR(__xludf.DUMMYFUNCTION("""COMPUTED_VALUE"""),199.18)</f>
        <v>199.18</v>
      </c>
      <c r="C551" s="22">
        <f>IFERROR(__xludf.DUMMYFUNCTION("""COMPUTED_VALUE"""),153.13)</f>
        <v>153.13</v>
      </c>
      <c r="D551" s="22">
        <f>IFERROR(__xludf.DUMMYFUNCTION("""COMPUTED_VALUE"""),294.8)</f>
        <v>294.8</v>
      </c>
      <c r="E551" s="21">
        <f>IFERROR(__xludf.DUMMYFUNCTION("""COMPUTED_VALUE"""),118.7685714285714)</f>
        <v>118.7685714</v>
      </c>
      <c r="F551" s="21">
        <f>IFERROR(__xludf.DUMMYFUNCTION("""COMPUTED_VALUE"""),141.26500000000001)</f>
        <v>141.265</v>
      </c>
      <c r="G551" s="21">
        <f>IFERROR(__xludf.DUMMYFUNCTION("""COMPUTED_VALUE"""),95.83)</f>
        <v>95.83</v>
      </c>
    </row>
    <row r="552">
      <c r="A552" s="20">
        <f>IFERROR(__xludf.DUMMYFUNCTION("""COMPUTED_VALUE"""),45112.0)</f>
        <v>45112</v>
      </c>
      <c r="B552" s="21">
        <f>IFERROR(__xludf.DUMMYFUNCTION("""COMPUTED_VALUE"""),199.18)</f>
        <v>199.18</v>
      </c>
      <c r="C552" s="22">
        <f>IFERROR(__xludf.DUMMYFUNCTION("""COMPUTED_VALUE"""),153.13)</f>
        <v>153.13</v>
      </c>
      <c r="D552" s="22">
        <f>IFERROR(__xludf.DUMMYFUNCTION("""COMPUTED_VALUE"""),294.8)</f>
        <v>294.8</v>
      </c>
      <c r="E552" s="21">
        <f>IFERROR(__xludf.DUMMYFUNCTION("""COMPUTED_VALUE"""),118.00142857142855)</f>
        <v>118.0014286</v>
      </c>
      <c r="F552" s="21">
        <f>IFERROR(__xludf.DUMMYFUNCTION("""COMPUTED_VALUE"""),141.01250000000002)</f>
        <v>141.0125</v>
      </c>
      <c r="G552" s="21">
        <f>IFERROR(__xludf.DUMMYFUNCTION("""COMPUTED_VALUE"""),95.83)</f>
        <v>95.83</v>
      </c>
    </row>
    <row r="553">
      <c r="A553" s="20">
        <f>IFERROR(__xludf.DUMMYFUNCTION("""COMPUTED_VALUE"""),45113.0)</f>
        <v>45113</v>
      </c>
      <c r="B553" s="21">
        <f>IFERROR(__xludf.DUMMYFUNCTION("""COMPUTED_VALUE"""),199.18)</f>
        <v>199.18</v>
      </c>
      <c r="C553" s="22">
        <f>IFERROR(__xludf.DUMMYFUNCTION("""COMPUTED_VALUE"""),153.13)</f>
        <v>153.13</v>
      </c>
      <c r="D553" s="22">
        <f>IFERROR(__xludf.DUMMYFUNCTION("""COMPUTED_VALUE"""),294.8)</f>
        <v>294.8</v>
      </c>
      <c r="E553" s="21">
        <f>IFERROR(__xludf.DUMMYFUNCTION("""COMPUTED_VALUE"""),117.21142857142857)</f>
        <v>117.2114286</v>
      </c>
      <c r="F553" s="21">
        <f>IFERROR(__xludf.DUMMYFUNCTION("""COMPUTED_VALUE"""),140.76000000000002)</f>
        <v>140.76</v>
      </c>
      <c r="G553" s="21">
        <f>IFERROR(__xludf.DUMMYFUNCTION("""COMPUTED_VALUE"""),95.83)</f>
        <v>95.83</v>
      </c>
    </row>
    <row r="554">
      <c r="A554" s="20">
        <f>IFERROR(__xludf.DUMMYFUNCTION("""COMPUTED_VALUE"""),45114.0)</f>
        <v>45114</v>
      </c>
      <c r="B554" s="21">
        <f>IFERROR(__xludf.DUMMYFUNCTION("""COMPUTED_VALUE"""),199.18)</f>
        <v>199.18</v>
      </c>
      <c r="C554" s="22">
        <f>IFERROR(__xludf.DUMMYFUNCTION("""COMPUTED_VALUE"""),153.13)</f>
        <v>153.13</v>
      </c>
      <c r="D554" s="22">
        <f>IFERROR(__xludf.DUMMYFUNCTION("""COMPUTED_VALUE"""),294.8)</f>
        <v>294.8</v>
      </c>
      <c r="E554" s="21">
        <f>IFERROR(__xludf.DUMMYFUNCTION("""COMPUTED_VALUE"""),117.32285714285715)</f>
        <v>117.3228571</v>
      </c>
      <c r="F554" s="21">
        <f>IFERROR(__xludf.DUMMYFUNCTION("""COMPUTED_VALUE"""),140.50750000000002)</f>
        <v>140.5075</v>
      </c>
      <c r="G554" s="21">
        <f>IFERROR(__xludf.DUMMYFUNCTION("""COMPUTED_VALUE"""),95.83)</f>
        <v>95.83</v>
      </c>
    </row>
    <row r="555">
      <c r="A555" s="20">
        <f>IFERROR(__xludf.DUMMYFUNCTION("""COMPUTED_VALUE"""),45115.0)</f>
        <v>45115</v>
      </c>
      <c r="B555" s="21">
        <f>IFERROR(__xludf.DUMMYFUNCTION("""COMPUTED_VALUE"""),199.18)</f>
        <v>199.18</v>
      </c>
      <c r="C555" s="22">
        <f>IFERROR(__xludf.DUMMYFUNCTION("""COMPUTED_VALUE"""),153.13)</f>
        <v>153.13</v>
      </c>
      <c r="D555" s="22">
        <f>IFERROR(__xludf.DUMMYFUNCTION("""COMPUTED_VALUE"""),294.8)</f>
        <v>294.8</v>
      </c>
      <c r="E555" s="21">
        <f>IFERROR(__xludf.DUMMYFUNCTION("""COMPUTED_VALUE"""),117.86571428571429)</f>
        <v>117.8657143</v>
      </c>
      <c r="F555" s="21">
        <f>IFERROR(__xludf.DUMMYFUNCTION("""COMPUTED_VALUE"""),140.25500000000002)</f>
        <v>140.255</v>
      </c>
      <c r="G555" s="21">
        <f>IFERROR(__xludf.DUMMYFUNCTION("""COMPUTED_VALUE"""),95.83)</f>
        <v>95.83</v>
      </c>
    </row>
    <row r="556">
      <c r="A556" s="20">
        <f>IFERROR(__xludf.DUMMYFUNCTION("""COMPUTED_VALUE"""),45116.0)</f>
        <v>45116</v>
      </c>
      <c r="B556" s="21">
        <f>IFERROR(__xludf.DUMMYFUNCTION("""COMPUTED_VALUE"""),199.18)</f>
        <v>199.18</v>
      </c>
      <c r="C556" s="22">
        <f>IFERROR(__xludf.DUMMYFUNCTION("""COMPUTED_VALUE"""),153.13)</f>
        <v>153.13</v>
      </c>
      <c r="D556" s="22">
        <f>IFERROR(__xludf.DUMMYFUNCTION("""COMPUTED_VALUE"""),294.8)</f>
        <v>294.8</v>
      </c>
      <c r="E556" s="21">
        <f>IFERROR(__xludf.DUMMYFUNCTION("""COMPUTED_VALUE"""),117.14714285714285)</f>
        <v>117.1471429</v>
      </c>
      <c r="F556" s="21">
        <f>IFERROR(__xludf.DUMMYFUNCTION("""COMPUTED_VALUE"""),140.00250000000003)</f>
        <v>140.0025</v>
      </c>
      <c r="G556" s="21">
        <f>IFERROR(__xludf.DUMMYFUNCTION("""COMPUTED_VALUE"""),95.83)</f>
        <v>95.83</v>
      </c>
    </row>
    <row r="557">
      <c r="A557" s="20">
        <f>IFERROR(__xludf.DUMMYFUNCTION("""COMPUTED_VALUE"""),45117.0)</f>
        <v>45117</v>
      </c>
      <c r="B557" s="21">
        <f>IFERROR(__xludf.DUMMYFUNCTION("""COMPUTED_VALUE"""),200.21)</f>
        <v>200.21</v>
      </c>
      <c r="C557" s="22">
        <f>IFERROR(__xludf.DUMMYFUNCTION("""COMPUTED_VALUE"""),153.13)</f>
        <v>153.13</v>
      </c>
      <c r="D557" s="22">
        <f>IFERROR(__xludf.DUMMYFUNCTION("""COMPUTED_VALUE"""),291.85)</f>
        <v>291.85</v>
      </c>
      <c r="E557" s="21">
        <f>IFERROR(__xludf.DUMMYFUNCTION("""COMPUTED_VALUE"""),118.99571428571429)</f>
        <v>118.9957143</v>
      </c>
      <c r="F557" s="21">
        <f>IFERROR(__xludf.DUMMYFUNCTION("""COMPUTED_VALUE"""),140.78785714285715)</f>
        <v>140.7878571</v>
      </c>
      <c r="G557" s="21">
        <f>IFERROR(__xludf.DUMMYFUNCTION("""COMPUTED_VALUE"""),95.83)</f>
        <v>95.83</v>
      </c>
    </row>
    <row r="558">
      <c r="A558" s="20">
        <f>IFERROR(__xludf.DUMMYFUNCTION("""COMPUTED_VALUE"""),45118.0)</f>
        <v>45118</v>
      </c>
      <c r="B558" s="21">
        <f>IFERROR(__xludf.DUMMYFUNCTION("""COMPUTED_VALUE"""),200.21)</f>
        <v>200.21</v>
      </c>
      <c r="C558" s="22">
        <f>IFERROR(__xludf.DUMMYFUNCTION("""COMPUTED_VALUE"""),153.13)</f>
        <v>153.13</v>
      </c>
      <c r="D558" s="22">
        <f>IFERROR(__xludf.DUMMYFUNCTION("""COMPUTED_VALUE"""),291.85)</f>
        <v>291.85</v>
      </c>
      <c r="E558" s="21">
        <f>IFERROR(__xludf.DUMMYFUNCTION("""COMPUTED_VALUE"""),117.25571428571429)</f>
        <v>117.2557143</v>
      </c>
      <c r="F558" s="21">
        <f>IFERROR(__xludf.DUMMYFUNCTION("""COMPUTED_VALUE"""),141.5732142857143)</f>
        <v>141.5732143</v>
      </c>
      <c r="G558" s="21">
        <f>IFERROR(__xludf.DUMMYFUNCTION("""COMPUTED_VALUE"""),95.83)</f>
        <v>95.83</v>
      </c>
    </row>
    <row r="559">
      <c r="A559" s="20">
        <f>IFERROR(__xludf.DUMMYFUNCTION("""COMPUTED_VALUE"""),45119.0)</f>
        <v>45119</v>
      </c>
      <c r="B559" s="21">
        <f>IFERROR(__xludf.DUMMYFUNCTION("""COMPUTED_VALUE"""),200.21)</f>
        <v>200.21</v>
      </c>
      <c r="C559" s="22">
        <f>IFERROR(__xludf.DUMMYFUNCTION("""COMPUTED_VALUE"""),153.13)</f>
        <v>153.13</v>
      </c>
      <c r="D559" s="22">
        <f>IFERROR(__xludf.DUMMYFUNCTION("""COMPUTED_VALUE"""),291.85)</f>
        <v>291.85</v>
      </c>
      <c r="E559" s="21">
        <f>IFERROR(__xludf.DUMMYFUNCTION("""COMPUTED_VALUE"""),117.89)</f>
        <v>117.89</v>
      </c>
      <c r="F559" s="21">
        <f>IFERROR(__xludf.DUMMYFUNCTION("""COMPUTED_VALUE"""),142.35857142857142)</f>
        <v>142.3585714</v>
      </c>
      <c r="G559" s="21">
        <f>IFERROR(__xludf.DUMMYFUNCTION("""COMPUTED_VALUE"""),95.83)</f>
        <v>95.83</v>
      </c>
    </row>
    <row r="560">
      <c r="A560" s="20">
        <f>IFERROR(__xludf.DUMMYFUNCTION("""COMPUTED_VALUE"""),45120.0)</f>
        <v>45120</v>
      </c>
      <c r="B560" s="21">
        <f>IFERROR(__xludf.DUMMYFUNCTION("""COMPUTED_VALUE"""),200.21)</f>
        <v>200.21</v>
      </c>
      <c r="C560" s="22">
        <f>IFERROR(__xludf.DUMMYFUNCTION("""COMPUTED_VALUE"""),153.13)</f>
        <v>153.13</v>
      </c>
      <c r="D560" s="22">
        <f>IFERROR(__xludf.DUMMYFUNCTION("""COMPUTED_VALUE"""),291.85)</f>
        <v>291.85</v>
      </c>
      <c r="E560" s="21">
        <f>IFERROR(__xludf.DUMMYFUNCTION("""COMPUTED_VALUE"""),117.39)</f>
        <v>117.39</v>
      </c>
      <c r="F560" s="21">
        <f>IFERROR(__xludf.DUMMYFUNCTION("""COMPUTED_VALUE"""),143.14392857142857)</f>
        <v>143.1439286</v>
      </c>
      <c r="G560" s="21">
        <f>IFERROR(__xludf.DUMMYFUNCTION("""COMPUTED_VALUE"""),95.83)</f>
        <v>95.83</v>
      </c>
    </row>
    <row r="561">
      <c r="A561" s="23">
        <f>IFERROR(__xludf.DUMMYFUNCTION("""COMPUTED_VALUE"""),45121.0)</f>
        <v>45121</v>
      </c>
      <c r="B561" s="21">
        <f>IFERROR(__xludf.DUMMYFUNCTION("""COMPUTED_VALUE"""),200.21)</f>
        <v>200.21</v>
      </c>
      <c r="C561" s="22">
        <f>IFERROR(__xludf.DUMMYFUNCTION("""COMPUTED_VALUE"""),153.13)</f>
        <v>153.13</v>
      </c>
      <c r="D561" s="22">
        <f>IFERROR(__xludf.DUMMYFUNCTION("""COMPUTED_VALUE"""),291.85)</f>
        <v>291.85</v>
      </c>
      <c r="E561" s="21">
        <f>IFERROR(__xludf.DUMMYFUNCTION("""COMPUTED_VALUE"""),114.68142857142857)</f>
        <v>114.6814286</v>
      </c>
      <c r="F561" s="21">
        <f>IFERROR(__xludf.DUMMYFUNCTION("""COMPUTED_VALUE"""),143.92928571428573)</f>
        <v>143.9292857</v>
      </c>
      <c r="G561" s="21">
        <f>IFERROR(__xludf.DUMMYFUNCTION("""COMPUTED_VALUE"""),95.83)</f>
        <v>95.83</v>
      </c>
    </row>
    <row r="562">
      <c r="A562" s="23">
        <f>IFERROR(__xludf.DUMMYFUNCTION("""COMPUTED_VALUE"""),45122.0)</f>
        <v>45122</v>
      </c>
      <c r="B562" s="21">
        <f>IFERROR(__xludf.DUMMYFUNCTION("""COMPUTED_VALUE"""),200.21)</f>
        <v>200.21</v>
      </c>
      <c r="C562" s="22">
        <f>IFERROR(__xludf.DUMMYFUNCTION("""COMPUTED_VALUE"""),153.13)</f>
        <v>153.13</v>
      </c>
      <c r="D562" s="22">
        <f>IFERROR(__xludf.DUMMYFUNCTION("""COMPUTED_VALUE"""),291.85)</f>
        <v>291.85</v>
      </c>
      <c r="E562" s="21">
        <f>IFERROR(__xludf.DUMMYFUNCTION("""COMPUTED_VALUE"""),114.37714285714286)</f>
        <v>114.3771429</v>
      </c>
      <c r="F562" s="21">
        <f>IFERROR(__xludf.DUMMYFUNCTION("""COMPUTED_VALUE"""),144.71464285714288)</f>
        <v>144.7146429</v>
      </c>
      <c r="G562" s="21">
        <f>IFERROR(__xludf.DUMMYFUNCTION("""COMPUTED_VALUE"""),95.83)</f>
        <v>95.83</v>
      </c>
    </row>
    <row r="563">
      <c r="A563" s="23">
        <f>IFERROR(__xludf.DUMMYFUNCTION("""COMPUTED_VALUE"""),45123.0)</f>
        <v>45123</v>
      </c>
      <c r="B563" s="21">
        <f>IFERROR(__xludf.DUMMYFUNCTION("""COMPUTED_VALUE"""),200.21)</f>
        <v>200.21</v>
      </c>
      <c r="C563" s="22">
        <f>IFERROR(__xludf.DUMMYFUNCTION("""COMPUTED_VALUE"""),153.13)</f>
        <v>153.13</v>
      </c>
      <c r="D563" s="22">
        <f>IFERROR(__xludf.DUMMYFUNCTION("""COMPUTED_VALUE"""),291.85)</f>
        <v>291.85</v>
      </c>
      <c r="E563" s="21">
        <f>IFERROR(__xludf.DUMMYFUNCTION("""COMPUTED_VALUE"""),114.98428571428573)</f>
        <v>114.9842857</v>
      </c>
      <c r="F563" s="21">
        <f>IFERROR(__xludf.DUMMYFUNCTION("""COMPUTED_VALUE"""),145.5)</f>
        <v>145.5</v>
      </c>
      <c r="G563" s="21">
        <f>IFERROR(__xludf.DUMMYFUNCTION("""COMPUTED_VALUE"""),95.83)</f>
        <v>95.83</v>
      </c>
    </row>
    <row r="564">
      <c r="A564" s="23">
        <f>IFERROR(__xludf.DUMMYFUNCTION("""COMPUTED_VALUE"""),45124.0)</f>
        <v>45124</v>
      </c>
      <c r="B564" s="21">
        <f>IFERROR(__xludf.DUMMYFUNCTION("""COMPUTED_VALUE"""),200.21)</f>
        <v>200.21</v>
      </c>
      <c r="C564" s="22">
        <f>IFERROR(__xludf.DUMMYFUNCTION("""COMPUTED_VALUE"""),153.13)</f>
        <v>153.13</v>
      </c>
      <c r="D564" s="22">
        <f>IFERROR(__xludf.DUMMYFUNCTION("""COMPUTED_VALUE"""),291.85)</f>
        <v>291.85</v>
      </c>
      <c r="E564" s="21">
        <f>IFERROR(__xludf.DUMMYFUNCTION("""COMPUTED_VALUE"""),113.56142857142858)</f>
        <v>113.5614286</v>
      </c>
      <c r="F564" s="21">
        <f>IFERROR(__xludf.DUMMYFUNCTION("""COMPUTED_VALUE"""),144.71714285714285)</f>
        <v>144.7171429</v>
      </c>
      <c r="G564" s="21">
        <f>IFERROR(__xludf.DUMMYFUNCTION("""COMPUTED_VALUE"""),95.83)</f>
        <v>95.83</v>
      </c>
    </row>
    <row r="565">
      <c r="A565" s="23">
        <f>IFERROR(__xludf.DUMMYFUNCTION("""COMPUTED_VALUE"""),45125.0)</f>
        <v>45125</v>
      </c>
      <c r="B565" s="21">
        <f>IFERROR(__xludf.DUMMYFUNCTION("""COMPUTED_VALUE"""),200.21)</f>
        <v>200.21</v>
      </c>
      <c r="C565" s="22">
        <f>IFERROR(__xludf.DUMMYFUNCTION("""COMPUTED_VALUE"""),153.13)</f>
        <v>153.13</v>
      </c>
      <c r="D565" s="22">
        <f>IFERROR(__xludf.DUMMYFUNCTION("""COMPUTED_VALUE"""),291.85)</f>
        <v>291.85</v>
      </c>
      <c r="E565" s="21">
        <f>IFERROR(__xludf.DUMMYFUNCTION("""COMPUTED_VALUE"""),113.2642857142857)</f>
        <v>113.2642857</v>
      </c>
      <c r="F565" s="21">
        <f>IFERROR(__xludf.DUMMYFUNCTION("""COMPUTED_VALUE"""),143.93428571428572)</f>
        <v>143.9342857</v>
      </c>
      <c r="G565" s="21">
        <f>IFERROR(__xludf.DUMMYFUNCTION("""COMPUTED_VALUE"""),95.83)</f>
        <v>95.83</v>
      </c>
    </row>
    <row r="566">
      <c r="A566" s="23">
        <f>IFERROR(__xludf.DUMMYFUNCTION("""COMPUTED_VALUE"""),45126.0)</f>
        <v>45126</v>
      </c>
      <c r="B566" s="21">
        <f>IFERROR(__xludf.DUMMYFUNCTION("""COMPUTED_VALUE"""),200.21)</f>
        <v>200.21</v>
      </c>
      <c r="C566" s="22">
        <f>IFERROR(__xludf.DUMMYFUNCTION("""COMPUTED_VALUE"""),153.13)</f>
        <v>153.13</v>
      </c>
      <c r="D566" s="22">
        <f>IFERROR(__xludf.DUMMYFUNCTION("""COMPUTED_VALUE"""),291.85)</f>
        <v>291.85</v>
      </c>
      <c r="E566" s="21">
        <f>IFERROR(__xludf.DUMMYFUNCTION("""COMPUTED_VALUE"""),114.86999999999999)</f>
        <v>114.87</v>
      </c>
      <c r="F566" s="21">
        <f>IFERROR(__xludf.DUMMYFUNCTION("""COMPUTED_VALUE"""),143.15142857142857)</f>
        <v>143.1514286</v>
      </c>
      <c r="G566" s="21">
        <f>IFERROR(__xludf.DUMMYFUNCTION("""COMPUTED_VALUE"""),95.83)</f>
        <v>95.83</v>
      </c>
    </row>
    <row r="567">
      <c r="A567" s="23">
        <f>IFERROR(__xludf.DUMMYFUNCTION("""COMPUTED_VALUE"""),45127.0)</f>
        <v>45127</v>
      </c>
      <c r="B567" s="21">
        <f>IFERROR(__xludf.DUMMYFUNCTION("""COMPUTED_VALUE"""),200.21)</f>
        <v>200.21</v>
      </c>
      <c r="C567" s="22">
        <f>IFERROR(__xludf.DUMMYFUNCTION("""COMPUTED_VALUE"""),153.13)</f>
        <v>153.13</v>
      </c>
      <c r="D567" s="22">
        <f>IFERROR(__xludf.DUMMYFUNCTION("""COMPUTED_VALUE"""),291.85)</f>
        <v>291.85</v>
      </c>
      <c r="E567" s="21">
        <f>IFERROR(__xludf.DUMMYFUNCTION("""COMPUTED_VALUE"""),116.0942857142857)</f>
        <v>116.0942857</v>
      </c>
      <c r="F567" s="21">
        <f>IFERROR(__xludf.DUMMYFUNCTION("""COMPUTED_VALUE"""),142.3685714285714)</f>
        <v>142.3685714</v>
      </c>
      <c r="G567" s="21">
        <f>IFERROR(__xludf.DUMMYFUNCTION("""COMPUTED_VALUE"""),95.83)</f>
        <v>95.83</v>
      </c>
    </row>
    <row r="568">
      <c r="A568" s="23">
        <f>IFERROR(__xludf.DUMMYFUNCTION("""COMPUTED_VALUE"""),45128.0)</f>
        <v>45128</v>
      </c>
      <c r="B568" s="21">
        <f>IFERROR(__xludf.DUMMYFUNCTION("""COMPUTED_VALUE"""),200.21)</f>
        <v>200.21</v>
      </c>
      <c r="C568" s="22">
        <f>IFERROR(__xludf.DUMMYFUNCTION("""COMPUTED_VALUE"""),153.13)</f>
        <v>153.13</v>
      </c>
      <c r="D568" s="22">
        <f>IFERROR(__xludf.DUMMYFUNCTION("""COMPUTED_VALUE"""),291.85)</f>
        <v>291.85</v>
      </c>
      <c r="E568" s="21">
        <f>IFERROR(__xludf.DUMMYFUNCTION("""COMPUTED_VALUE"""),117.84)</f>
        <v>117.84</v>
      </c>
      <c r="F568" s="21">
        <f>IFERROR(__xludf.DUMMYFUNCTION("""COMPUTED_VALUE"""),141.58571428571426)</f>
        <v>141.5857143</v>
      </c>
      <c r="G568" s="21">
        <f>IFERROR(__xludf.DUMMYFUNCTION("""COMPUTED_VALUE"""),95.83)</f>
        <v>95.83</v>
      </c>
    </row>
    <row r="569">
      <c r="A569" s="23">
        <f>IFERROR(__xludf.DUMMYFUNCTION("""COMPUTED_VALUE"""),45129.0)</f>
        <v>45129</v>
      </c>
      <c r="B569" s="21">
        <f>IFERROR(__xludf.DUMMYFUNCTION("""COMPUTED_VALUE"""),200.21)</f>
        <v>200.21</v>
      </c>
      <c r="C569" s="22">
        <f>IFERROR(__xludf.DUMMYFUNCTION("""COMPUTED_VALUE"""),153.13)</f>
        <v>153.13</v>
      </c>
      <c r="D569" s="22">
        <f>IFERROR(__xludf.DUMMYFUNCTION("""COMPUTED_VALUE"""),291.85)</f>
        <v>291.85</v>
      </c>
      <c r="E569" s="21">
        <f>IFERROR(__xludf.DUMMYFUNCTION("""COMPUTED_VALUE"""),118.33571428571427)</f>
        <v>118.3357143</v>
      </c>
      <c r="F569" s="21">
        <f>IFERROR(__xludf.DUMMYFUNCTION("""COMPUTED_VALUE"""),140.80285714285714)</f>
        <v>140.8028571</v>
      </c>
      <c r="G569" s="21">
        <f>IFERROR(__xludf.DUMMYFUNCTION("""COMPUTED_VALUE"""),95.83)</f>
        <v>95.83</v>
      </c>
    </row>
    <row r="570">
      <c r="A570" s="23">
        <f>IFERROR(__xludf.DUMMYFUNCTION("""COMPUTED_VALUE"""),45130.0)</f>
        <v>45130</v>
      </c>
      <c r="B570" s="21">
        <f>IFERROR(__xludf.DUMMYFUNCTION("""COMPUTED_VALUE"""),200.21)</f>
        <v>200.21</v>
      </c>
      <c r="C570" s="22">
        <f>IFERROR(__xludf.DUMMYFUNCTION("""COMPUTED_VALUE"""),153.13)</f>
        <v>153.13</v>
      </c>
      <c r="D570" s="22">
        <f>IFERROR(__xludf.DUMMYFUNCTION("""COMPUTED_VALUE"""),291.85)</f>
        <v>291.85</v>
      </c>
      <c r="E570" s="21">
        <f>IFERROR(__xludf.DUMMYFUNCTION("""COMPUTED_VALUE"""),118.02999999999999)</f>
        <v>118.03</v>
      </c>
      <c r="F570" s="21">
        <f>IFERROR(__xludf.DUMMYFUNCTION("""COMPUTED_VALUE"""),140.02)</f>
        <v>140.02</v>
      </c>
      <c r="G570" s="21">
        <f>IFERROR(__xludf.DUMMYFUNCTION("""COMPUTED_VALUE"""),95.83)</f>
        <v>95.83</v>
      </c>
    </row>
    <row r="571">
      <c r="A571" s="23">
        <f>IFERROR(__xludf.DUMMYFUNCTION("""COMPUTED_VALUE"""),45131.0)</f>
        <v>45131</v>
      </c>
      <c r="B571" s="21">
        <f>IFERROR(__xludf.DUMMYFUNCTION("""COMPUTED_VALUE"""),178.17)</f>
        <v>178.17</v>
      </c>
      <c r="C571" s="22">
        <f>IFERROR(__xludf.DUMMYFUNCTION("""COMPUTED_VALUE"""),154.18)</f>
        <v>154.18</v>
      </c>
      <c r="D571" s="22">
        <f>IFERROR(__xludf.DUMMYFUNCTION("""COMPUTED_VALUE"""),201.99)</f>
        <v>201.99</v>
      </c>
      <c r="E571" s="21">
        <f>IFERROR(__xludf.DUMMYFUNCTION("""COMPUTED_VALUE"""),117.90714285714284)</f>
        <v>117.9071429</v>
      </c>
      <c r="F571" s="21">
        <f>IFERROR(__xludf.DUMMYFUNCTION("""COMPUTED_VALUE"""),140.72142857142856)</f>
        <v>140.7214286</v>
      </c>
      <c r="G571" s="21">
        <f>IFERROR(__xludf.DUMMYFUNCTION("""COMPUTED_VALUE"""),95.83)</f>
        <v>95.83</v>
      </c>
    </row>
    <row r="572">
      <c r="A572" s="23">
        <f>IFERROR(__xludf.DUMMYFUNCTION("""COMPUTED_VALUE"""),45132.0)</f>
        <v>45132</v>
      </c>
      <c r="B572" s="21">
        <f>IFERROR(__xludf.DUMMYFUNCTION("""COMPUTED_VALUE"""),178.17)</f>
        <v>178.17</v>
      </c>
      <c r="C572" s="22">
        <f>IFERROR(__xludf.DUMMYFUNCTION("""COMPUTED_VALUE"""),154.18)</f>
        <v>154.18</v>
      </c>
      <c r="D572" s="22">
        <f>IFERROR(__xludf.DUMMYFUNCTION("""COMPUTED_VALUE"""),201.99)</f>
        <v>201.99</v>
      </c>
      <c r="E572" s="21">
        <f>IFERROR(__xludf.DUMMYFUNCTION("""COMPUTED_VALUE"""),117.32428571428571)</f>
        <v>117.3242857</v>
      </c>
      <c r="F572" s="21">
        <f>IFERROR(__xludf.DUMMYFUNCTION("""COMPUTED_VALUE"""),141.42285714285714)</f>
        <v>141.4228571</v>
      </c>
      <c r="G572" s="21">
        <f>IFERROR(__xludf.DUMMYFUNCTION("""COMPUTED_VALUE"""),95.83)</f>
        <v>95.83</v>
      </c>
    </row>
    <row r="573">
      <c r="A573" s="23">
        <f>IFERROR(__xludf.DUMMYFUNCTION("""COMPUTED_VALUE"""),45133.0)</f>
        <v>45133</v>
      </c>
      <c r="B573" s="21">
        <f>IFERROR(__xludf.DUMMYFUNCTION("""COMPUTED_VALUE"""),178.17)</f>
        <v>178.17</v>
      </c>
      <c r="C573" s="22">
        <f>IFERROR(__xludf.DUMMYFUNCTION("""COMPUTED_VALUE"""),154.18)</f>
        <v>154.18</v>
      </c>
      <c r="D573" s="22">
        <f>IFERROR(__xludf.DUMMYFUNCTION("""COMPUTED_VALUE"""),201.99)</f>
        <v>201.99</v>
      </c>
      <c r="E573" s="21">
        <f>IFERROR(__xludf.DUMMYFUNCTION("""COMPUTED_VALUE"""),113.46714285714286)</f>
        <v>113.4671429</v>
      </c>
      <c r="F573" s="21">
        <f>IFERROR(__xludf.DUMMYFUNCTION("""COMPUTED_VALUE"""),142.12428571428572)</f>
        <v>142.1242857</v>
      </c>
      <c r="G573" s="21">
        <f>IFERROR(__xludf.DUMMYFUNCTION("""COMPUTED_VALUE"""),95.83)</f>
        <v>95.83</v>
      </c>
    </row>
    <row r="574">
      <c r="A574" s="23">
        <f>IFERROR(__xludf.DUMMYFUNCTION("""COMPUTED_VALUE"""),45134.0)</f>
        <v>45134</v>
      </c>
      <c r="B574" s="21">
        <f>IFERROR(__xludf.DUMMYFUNCTION("""COMPUTED_VALUE"""),178.17)</f>
        <v>178.17</v>
      </c>
      <c r="C574" s="22">
        <f>IFERROR(__xludf.DUMMYFUNCTION("""COMPUTED_VALUE"""),154.18)</f>
        <v>154.18</v>
      </c>
      <c r="D574" s="22">
        <f>IFERROR(__xludf.DUMMYFUNCTION("""COMPUTED_VALUE"""),201.99)</f>
        <v>201.99</v>
      </c>
      <c r="E574" s="21">
        <f>IFERROR(__xludf.DUMMYFUNCTION("""COMPUTED_VALUE"""),112.24285714285712)</f>
        <v>112.2428571</v>
      </c>
      <c r="F574" s="21">
        <f>IFERROR(__xludf.DUMMYFUNCTION("""COMPUTED_VALUE"""),142.82571428571433)</f>
        <v>142.8257143</v>
      </c>
      <c r="G574" s="21">
        <f>IFERROR(__xludf.DUMMYFUNCTION("""COMPUTED_VALUE"""),95.83)</f>
        <v>95.83</v>
      </c>
    </row>
    <row r="575">
      <c r="A575" s="23">
        <f>IFERROR(__xludf.DUMMYFUNCTION("""COMPUTED_VALUE"""),45135.0)</f>
        <v>45135</v>
      </c>
      <c r="B575" s="21">
        <f>IFERROR(__xludf.DUMMYFUNCTION("""COMPUTED_VALUE"""),178.17)</f>
        <v>178.17</v>
      </c>
      <c r="C575" s="22">
        <f>IFERROR(__xludf.DUMMYFUNCTION("""COMPUTED_VALUE"""),154.18)</f>
        <v>154.18</v>
      </c>
      <c r="D575" s="22">
        <f>IFERROR(__xludf.DUMMYFUNCTION("""COMPUTED_VALUE"""),201.99)</f>
        <v>201.99</v>
      </c>
      <c r="E575" s="21">
        <f>IFERROR(__xludf.DUMMYFUNCTION("""COMPUTED_VALUE"""),111.26857142857143)</f>
        <v>111.2685714</v>
      </c>
      <c r="F575" s="21">
        <f>IFERROR(__xludf.DUMMYFUNCTION("""COMPUTED_VALUE"""),143.5271428571429)</f>
        <v>143.5271429</v>
      </c>
      <c r="G575" s="21">
        <f>IFERROR(__xludf.DUMMYFUNCTION("""COMPUTED_VALUE"""),95.83)</f>
        <v>95.83</v>
      </c>
    </row>
    <row r="576">
      <c r="A576" s="23">
        <f>IFERROR(__xludf.DUMMYFUNCTION("""COMPUTED_VALUE"""),45136.0)</f>
        <v>45136</v>
      </c>
      <c r="B576" s="21">
        <f>IFERROR(__xludf.DUMMYFUNCTION("""COMPUTED_VALUE"""),178.17)</f>
        <v>178.17</v>
      </c>
      <c r="C576" s="22">
        <f>IFERROR(__xludf.DUMMYFUNCTION("""COMPUTED_VALUE"""),154.18)</f>
        <v>154.18</v>
      </c>
      <c r="D576" s="22">
        <f>IFERROR(__xludf.DUMMYFUNCTION("""COMPUTED_VALUE"""),201.99)</f>
        <v>201.99</v>
      </c>
      <c r="E576" s="21">
        <f>IFERROR(__xludf.DUMMYFUNCTION("""COMPUTED_VALUE"""),109.52642857142857)</f>
        <v>109.5264286</v>
      </c>
      <c r="F576" s="21">
        <f>IFERROR(__xludf.DUMMYFUNCTION("""COMPUTED_VALUE"""),144.22857142857146)</f>
        <v>144.2285714</v>
      </c>
      <c r="G576" s="21">
        <f>IFERROR(__xludf.DUMMYFUNCTION("""COMPUTED_VALUE"""),95.83)</f>
        <v>95.83</v>
      </c>
    </row>
    <row r="577">
      <c r="A577" s="23">
        <f>IFERROR(__xludf.DUMMYFUNCTION("""COMPUTED_VALUE"""),45137.0)</f>
        <v>45137</v>
      </c>
      <c r="B577" s="21">
        <f>IFERROR(__xludf.DUMMYFUNCTION("""COMPUTED_VALUE"""),178.17)</f>
        <v>178.17</v>
      </c>
      <c r="C577" s="22">
        <f>IFERROR(__xludf.DUMMYFUNCTION("""COMPUTED_VALUE"""),154.18)</f>
        <v>154.18</v>
      </c>
      <c r="D577" s="22">
        <f>IFERROR(__xludf.DUMMYFUNCTION("""COMPUTED_VALUE"""),201.99)</f>
        <v>201.99</v>
      </c>
      <c r="E577" s="21">
        <f>IFERROR(__xludf.DUMMYFUNCTION("""COMPUTED_VALUE"""),105.62771428571429)</f>
        <v>105.6277143</v>
      </c>
      <c r="F577" s="21">
        <f>IFERROR(__xludf.DUMMYFUNCTION("""COMPUTED_VALUE"""),144.93000000000004)</f>
        <v>144.93</v>
      </c>
      <c r="G577" s="21">
        <f>IFERROR(__xludf.DUMMYFUNCTION("""COMPUTED_VALUE"""),95.83)</f>
        <v>95.83</v>
      </c>
    </row>
    <row r="578">
      <c r="A578" s="23">
        <f>IFERROR(__xludf.DUMMYFUNCTION("""COMPUTED_VALUE"""),45138.0)</f>
        <v>45138</v>
      </c>
      <c r="B578" s="21">
        <f>IFERROR(__xludf.DUMMYFUNCTION("""COMPUTED_VALUE"""),178.17)</f>
        <v>178.17</v>
      </c>
      <c r="C578" s="22">
        <f>IFERROR(__xludf.DUMMYFUNCTION("""COMPUTED_VALUE"""),154.18)</f>
        <v>154.18</v>
      </c>
      <c r="D578" s="22">
        <f>IFERROR(__xludf.DUMMYFUNCTION("""COMPUTED_VALUE"""),201.99)</f>
        <v>201.99</v>
      </c>
      <c r="E578" s="21">
        <f>IFERROR(__xludf.DUMMYFUNCTION("""COMPUTED_VALUE"""),103.17485714285715)</f>
        <v>103.1748571</v>
      </c>
      <c r="F578" s="21">
        <f>IFERROR(__xludf.DUMMYFUNCTION("""COMPUTED_VALUE"""),144.63857142857145)</f>
        <v>144.6385714</v>
      </c>
      <c r="G578" s="21">
        <f>IFERROR(__xludf.DUMMYFUNCTION("""COMPUTED_VALUE"""),95.83)</f>
        <v>95.83</v>
      </c>
    </row>
    <row r="579">
      <c r="A579" s="23">
        <f>IFERROR(__xludf.DUMMYFUNCTION("""COMPUTED_VALUE"""),45139.0)</f>
        <v>45139</v>
      </c>
      <c r="B579" s="21">
        <f>IFERROR(__xludf.DUMMYFUNCTION("""COMPUTED_VALUE"""),178.17)</f>
        <v>178.17</v>
      </c>
      <c r="C579" s="22">
        <f>IFERROR(__xludf.DUMMYFUNCTION("""COMPUTED_VALUE"""),154.18)</f>
        <v>154.18</v>
      </c>
      <c r="D579" s="22">
        <f>IFERROR(__xludf.DUMMYFUNCTION("""COMPUTED_VALUE"""),201.99)</f>
        <v>201.99</v>
      </c>
      <c r="E579" s="21">
        <f>IFERROR(__xludf.DUMMYFUNCTION("""COMPUTED_VALUE"""),100.68628571428572)</f>
        <v>100.6862857</v>
      </c>
      <c r="F579" s="21">
        <f>IFERROR(__xludf.DUMMYFUNCTION("""COMPUTED_VALUE"""),144.34714285714287)</f>
        <v>144.3471429</v>
      </c>
      <c r="G579" s="21">
        <f>IFERROR(__xludf.DUMMYFUNCTION("""COMPUTED_VALUE"""),95.83)</f>
        <v>95.83</v>
      </c>
    </row>
    <row r="580">
      <c r="A580" s="20">
        <f>IFERROR(__xludf.DUMMYFUNCTION("""COMPUTED_VALUE"""),45140.0)</f>
        <v>45140</v>
      </c>
      <c r="B580" s="21">
        <f>IFERROR(__xludf.DUMMYFUNCTION("""COMPUTED_VALUE"""),178.17)</f>
        <v>178.17</v>
      </c>
      <c r="C580" s="22">
        <f>IFERROR(__xludf.DUMMYFUNCTION("""COMPUTED_VALUE"""),154.18)</f>
        <v>154.18</v>
      </c>
      <c r="D580" s="22">
        <f>IFERROR(__xludf.DUMMYFUNCTION("""COMPUTED_VALUE"""),201.99)</f>
        <v>201.99</v>
      </c>
      <c r="E580" s="21">
        <f>IFERROR(__xludf.DUMMYFUNCTION("""COMPUTED_VALUE"""),101.31200000000001)</f>
        <v>101.312</v>
      </c>
      <c r="F580" s="21">
        <f>IFERROR(__xludf.DUMMYFUNCTION("""COMPUTED_VALUE"""),144.0557142857143)</f>
        <v>144.0557143</v>
      </c>
      <c r="G580" s="21">
        <f>IFERROR(__xludf.DUMMYFUNCTION("""COMPUTED_VALUE"""),95.83)</f>
        <v>95.83</v>
      </c>
    </row>
    <row r="581">
      <c r="A581" s="20">
        <f>IFERROR(__xludf.DUMMYFUNCTION("""COMPUTED_VALUE"""),45141.0)</f>
        <v>45141</v>
      </c>
      <c r="B581" s="21">
        <f>IFERROR(__xludf.DUMMYFUNCTION("""COMPUTED_VALUE"""),178.17)</f>
        <v>178.17</v>
      </c>
      <c r="C581" s="22">
        <f>IFERROR(__xludf.DUMMYFUNCTION("""COMPUTED_VALUE"""),154.18)</f>
        <v>154.18</v>
      </c>
      <c r="D581" s="22">
        <f>IFERROR(__xludf.DUMMYFUNCTION("""COMPUTED_VALUE"""),201.99)</f>
        <v>201.99</v>
      </c>
      <c r="E581" s="21">
        <f>IFERROR(__xludf.DUMMYFUNCTION("""COMPUTED_VALUE"""),101.2277142857143)</f>
        <v>101.2277143</v>
      </c>
      <c r="F581" s="21">
        <f>IFERROR(__xludf.DUMMYFUNCTION("""COMPUTED_VALUE"""),143.7642857142857)</f>
        <v>143.7642857</v>
      </c>
      <c r="G581" s="21">
        <f>IFERROR(__xludf.DUMMYFUNCTION("""COMPUTED_VALUE"""),95.83)</f>
        <v>95.83</v>
      </c>
    </row>
    <row r="582">
      <c r="A582" s="20">
        <f>IFERROR(__xludf.DUMMYFUNCTION("""COMPUTED_VALUE"""),45142.0)</f>
        <v>45142</v>
      </c>
      <c r="B582" s="21">
        <f>IFERROR(__xludf.DUMMYFUNCTION("""COMPUTED_VALUE"""),178.17)</f>
        <v>178.17</v>
      </c>
      <c r="C582" s="22">
        <f>IFERROR(__xludf.DUMMYFUNCTION("""COMPUTED_VALUE"""),154.18)</f>
        <v>154.18</v>
      </c>
      <c r="D582" s="22">
        <f>IFERROR(__xludf.DUMMYFUNCTION("""COMPUTED_VALUE"""),201.99)</f>
        <v>201.99</v>
      </c>
      <c r="E582" s="21">
        <f>IFERROR(__xludf.DUMMYFUNCTION("""COMPUTED_VALUE"""),101.12628571428571)</f>
        <v>101.1262857</v>
      </c>
      <c r="F582" s="21">
        <f>IFERROR(__xludf.DUMMYFUNCTION("""COMPUTED_VALUE"""),143.47285714285712)</f>
        <v>143.4728571</v>
      </c>
      <c r="G582" s="21">
        <f>IFERROR(__xludf.DUMMYFUNCTION("""COMPUTED_VALUE"""),95.83)</f>
        <v>95.83</v>
      </c>
    </row>
    <row r="583">
      <c r="A583" s="20">
        <f>IFERROR(__xludf.DUMMYFUNCTION("""COMPUTED_VALUE"""),45143.0)</f>
        <v>45143</v>
      </c>
      <c r="B583" s="21">
        <f>IFERROR(__xludf.DUMMYFUNCTION("""COMPUTED_VALUE"""),178.17)</f>
        <v>178.17</v>
      </c>
      <c r="C583" s="22">
        <f>IFERROR(__xludf.DUMMYFUNCTION("""COMPUTED_VALUE"""),154.18)</f>
        <v>154.18</v>
      </c>
      <c r="D583" s="22">
        <f>IFERROR(__xludf.DUMMYFUNCTION("""COMPUTED_VALUE"""),201.99)</f>
        <v>201.99</v>
      </c>
      <c r="E583" s="21">
        <f>IFERROR(__xludf.DUMMYFUNCTION("""COMPUTED_VALUE"""),101.66885714285715)</f>
        <v>101.6688571</v>
      </c>
      <c r="F583" s="21">
        <f>IFERROR(__xludf.DUMMYFUNCTION("""COMPUTED_VALUE"""),143.18142857142854)</f>
        <v>143.1814286</v>
      </c>
      <c r="G583" s="21">
        <f>IFERROR(__xludf.DUMMYFUNCTION("""COMPUTED_VALUE"""),95.83)</f>
        <v>95.83</v>
      </c>
    </row>
    <row r="584">
      <c r="A584" s="20">
        <f>IFERROR(__xludf.DUMMYFUNCTION("""COMPUTED_VALUE"""),45144.0)</f>
        <v>45144</v>
      </c>
      <c r="B584" s="21">
        <f>IFERROR(__xludf.DUMMYFUNCTION("""COMPUTED_VALUE"""),178.17)</f>
        <v>178.17</v>
      </c>
      <c r="C584" s="22">
        <f>IFERROR(__xludf.DUMMYFUNCTION("""COMPUTED_VALUE"""),154.18)</f>
        <v>154.18</v>
      </c>
      <c r="D584" s="22">
        <f>IFERROR(__xludf.DUMMYFUNCTION("""COMPUTED_VALUE"""),201.99)</f>
        <v>201.99</v>
      </c>
      <c r="E584" s="21">
        <f>IFERROR(__xludf.DUMMYFUNCTION("""COMPUTED_VALUE"""),101.73914285714285)</f>
        <v>101.7391429</v>
      </c>
      <c r="F584" s="21">
        <f>IFERROR(__xludf.DUMMYFUNCTION("""COMPUTED_VALUE"""),142.89)</f>
        <v>142.89</v>
      </c>
      <c r="G584" s="21">
        <f>IFERROR(__xludf.DUMMYFUNCTION("""COMPUTED_VALUE"""),95.83)</f>
        <v>95.83</v>
      </c>
    </row>
    <row r="585">
      <c r="A585" s="20">
        <f>IFERROR(__xludf.DUMMYFUNCTION("""COMPUTED_VALUE"""),45145.0)</f>
        <v>45145</v>
      </c>
      <c r="B585" s="21">
        <f>IFERROR(__xludf.DUMMYFUNCTION("""COMPUTED_VALUE"""),178.17)</f>
        <v>178.17</v>
      </c>
      <c r="C585" s="22">
        <f>IFERROR(__xludf.DUMMYFUNCTION("""COMPUTED_VALUE"""),154.18)</f>
        <v>154.18</v>
      </c>
      <c r="D585" s="22">
        <f>IFERROR(__xludf.DUMMYFUNCTION("""COMPUTED_VALUE"""),201.99)</f>
        <v>201.99</v>
      </c>
      <c r="E585" s="21">
        <f>IFERROR(__xludf.DUMMYFUNCTION("""COMPUTED_VALUE"""),100.49614285714286)</f>
        <v>100.4961429</v>
      </c>
      <c r="F585" s="21">
        <f>IFERROR(__xludf.DUMMYFUNCTION("""COMPUTED_VALUE"""),142.64714285714285)</f>
        <v>142.6471429</v>
      </c>
      <c r="G585" s="21">
        <f>IFERROR(__xludf.DUMMYFUNCTION("""COMPUTED_VALUE"""),95.83)</f>
        <v>95.83</v>
      </c>
    </row>
    <row r="586">
      <c r="A586" s="20">
        <f>IFERROR(__xludf.DUMMYFUNCTION("""COMPUTED_VALUE"""),45146.0)</f>
        <v>45146</v>
      </c>
      <c r="B586" s="21">
        <f>IFERROR(__xludf.DUMMYFUNCTION("""COMPUTED_VALUE"""),178.17)</f>
        <v>178.17</v>
      </c>
      <c r="C586" s="22">
        <f>IFERROR(__xludf.DUMMYFUNCTION("""COMPUTED_VALUE"""),154.18)</f>
        <v>154.18</v>
      </c>
      <c r="D586" s="22">
        <f>IFERROR(__xludf.DUMMYFUNCTION("""COMPUTED_VALUE"""),201.99)</f>
        <v>201.99</v>
      </c>
      <c r="E586" s="21">
        <f>IFERROR(__xludf.DUMMYFUNCTION("""COMPUTED_VALUE"""),98.08557142857141)</f>
        <v>98.08557143</v>
      </c>
      <c r="F586" s="21">
        <f>IFERROR(__xludf.DUMMYFUNCTION("""COMPUTED_VALUE"""),142.4042857142857)</f>
        <v>142.4042857</v>
      </c>
      <c r="G586" s="21">
        <f>IFERROR(__xludf.DUMMYFUNCTION("""COMPUTED_VALUE"""),95.83)</f>
        <v>95.83</v>
      </c>
    </row>
    <row r="587">
      <c r="A587" s="20">
        <f>IFERROR(__xludf.DUMMYFUNCTION("""COMPUTED_VALUE"""),45147.0)</f>
        <v>45147</v>
      </c>
      <c r="B587" s="21">
        <f>IFERROR(__xludf.DUMMYFUNCTION("""COMPUTED_VALUE"""),178.17)</f>
        <v>178.17</v>
      </c>
      <c r="C587" s="22">
        <f>IFERROR(__xludf.DUMMYFUNCTION("""COMPUTED_VALUE"""),154.18)</f>
        <v>154.18</v>
      </c>
      <c r="D587" s="22">
        <f>IFERROR(__xludf.DUMMYFUNCTION("""COMPUTED_VALUE"""),201.99)</f>
        <v>201.99</v>
      </c>
      <c r="E587" s="21">
        <f>IFERROR(__xludf.DUMMYFUNCTION("""COMPUTED_VALUE"""),96.74357142857143)</f>
        <v>96.74357143</v>
      </c>
      <c r="F587" s="21">
        <f>IFERROR(__xludf.DUMMYFUNCTION("""COMPUTED_VALUE"""),142.1614285714286)</f>
        <v>142.1614286</v>
      </c>
      <c r="G587" s="21">
        <f>IFERROR(__xludf.DUMMYFUNCTION("""COMPUTED_VALUE"""),95.83)</f>
        <v>95.83</v>
      </c>
    </row>
    <row r="588">
      <c r="A588" s="20">
        <f>IFERROR(__xludf.DUMMYFUNCTION("""COMPUTED_VALUE"""),45148.0)</f>
        <v>45148</v>
      </c>
      <c r="B588" s="21">
        <f>IFERROR(__xludf.DUMMYFUNCTION("""COMPUTED_VALUE"""),178.17)</f>
        <v>178.17</v>
      </c>
      <c r="C588" s="22">
        <f>IFERROR(__xludf.DUMMYFUNCTION("""COMPUTED_VALUE"""),154.18)</f>
        <v>154.18</v>
      </c>
      <c r="D588" s="22">
        <f>IFERROR(__xludf.DUMMYFUNCTION("""COMPUTED_VALUE"""),201.99)</f>
        <v>201.99</v>
      </c>
      <c r="E588" s="21">
        <f>IFERROR(__xludf.DUMMYFUNCTION("""COMPUTED_VALUE"""),94.79057142857143)</f>
        <v>94.79057143</v>
      </c>
      <c r="F588" s="21">
        <f>IFERROR(__xludf.DUMMYFUNCTION("""COMPUTED_VALUE"""),141.91857142857143)</f>
        <v>141.9185714</v>
      </c>
      <c r="G588" s="21">
        <f>IFERROR(__xludf.DUMMYFUNCTION("""COMPUTED_VALUE"""),95.83)</f>
        <v>95.83</v>
      </c>
    </row>
    <row r="589">
      <c r="A589" s="20">
        <f>IFERROR(__xludf.DUMMYFUNCTION("""COMPUTED_VALUE"""),45149.0)</f>
        <v>45149</v>
      </c>
      <c r="B589" s="21">
        <f>IFERROR(__xludf.DUMMYFUNCTION("""COMPUTED_VALUE"""),178.17)</f>
        <v>178.17</v>
      </c>
      <c r="C589" s="22">
        <f>IFERROR(__xludf.DUMMYFUNCTION("""COMPUTED_VALUE"""),154.18)</f>
        <v>154.18</v>
      </c>
      <c r="D589" s="22">
        <f>IFERROR(__xludf.DUMMYFUNCTION("""COMPUTED_VALUE"""),201.99)</f>
        <v>201.99</v>
      </c>
      <c r="E589" s="21">
        <f>IFERROR(__xludf.DUMMYFUNCTION("""COMPUTED_VALUE"""),94.81371428571428)</f>
        <v>94.81371429</v>
      </c>
      <c r="F589" s="21">
        <f>IFERROR(__xludf.DUMMYFUNCTION("""COMPUTED_VALUE"""),141.6757142857143)</f>
        <v>141.6757143</v>
      </c>
      <c r="G589" s="21">
        <f>IFERROR(__xludf.DUMMYFUNCTION("""COMPUTED_VALUE"""),95.83)</f>
        <v>95.83</v>
      </c>
    </row>
    <row r="590">
      <c r="A590" s="20">
        <f>IFERROR(__xludf.DUMMYFUNCTION("""COMPUTED_VALUE"""),45150.0)</f>
        <v>45150</v>
      </c>
      <c r="B590" s="21">
        <f>IFERROR(__xludf.DUMMYFUNCTION("""COMPUTED_VALUE"""),178.17)</f>
        <v>178.17</v>
      </c>
      <c r="C590" s="22">
        <f>IFERROR(__xludf.DUMMYFUNCTION("""COMPUTED_VALUE"""),154.18)</f>
        <v>154.18</v>
      </c>
      <c r="D590" s="22">
        <f>IFERROR(__xludf.DUMMYFUNCTION("""COMPUTED_VALUE"""),201.99)</f>
        <v>201.99</v>
      </c>
      <c r="E590" s="21">
        <f>IFERROR(__xludf.DUMMYFUNCTION("""COMPUTED_VALUE"""),93.38457142857143)</f>
        <v>93.38457143</v>
      </c>
      <c r="F590" s="21">
        <f>IFERROR(__xludf.DUMMYFUNCTION("""COMPUTED_VALUE"""),141.43285714285716)</f>
        <v>141.4328571</v>
      </c>
      <c r="G590" s="21">
        <f>IFERROR(__xludf.DUMMYFUNCTION("""COMPUTED_VALUE"""),95.83)</f>
        <v>95.83</v>
      </c>
    </row>
    <row r="591">
      <c r="A591" s="20">
        <f>IFERROR(__xludf.DUMMYFUNCTION("""COMPUTED_VALUE"""),45151.0)</f>
        <v>45151</v>
      </c>
      <c r="B591" s="21">
        <f>IFERROR(__xludf.DUMMYFUNCTION("""COMPUTED_VALUE"""),178.17)</f>
        <v>178.17</v>
      </c>
      <c r="C591" s="22">
        <f>IFERROR(__xludf.DUMMYFUNCTION("""COMPUTED_VALUE"""),154.18)</f>
        <v>154.18</v>
      </c>
      <c r="D591" s="22">
        <f>IFERROR(__xludf.DUMMYFUNCTION("""COMPUTED_VALUE"""),201.99)</f>
        <v>201.99</v>
      </c>
      <c r="E591" s="21">
        <f>IFERROR(__xludf.DUMMYFUNCTION("""COMPUTED_VALUE"""),96.38014285714287)</f>
        <v>96.38014286</v>
      </c>
      <c r="F591" s="21">
        <f>IFERROR(__xludf.DUMMYFUNCTION("""COMPUTED_VALUE"""),141.19000000000003)</f>
        <v>141.19</v>
      </c>
      <c r="G591" s="21">
        <f>IFERROR(__xludf.DUMMYFUNCTION("""COMPUTED_VALUE"""),95.83)</f>
        <v>95.83</v>
      </c>
    </row>
    <row r="592">
      <c r="A592" s="23">
        <f>IFERROR(__xludf.DUMMYFUNCTION("""COMPUTED_VALUE"""),45152.0)</f>
        <v>45152</v>
      </c>
      <c r="B592" s="21">
        <f>IFERROR(__xludf.DUMMYFUNCTION("""COMPUTED_VALUE"""),178.17)</f>
        <v>178.17</v>
      </c>
      <c r="C592" s="22">
        <f>IFERROR(__xludf.DUMMYFUNCTION("""COMPUTED_VALUE"""),154.18)</f>
        <v>154.18</v>
      </c>
      <c r="D592" s="22">
        <f>IFERROR(__xludf.DUMMYFUNCTION("""COMPUTED_VALUE"""),201.99)</f>
        <v>201.99</v>
      </c>
      <c r="E592" s="21">
        <f>IFERROR(__xludf.DUMMYFUNCTION("""COMPUTED_VALUE"""),98.41885714285715)</f>
        <v>98.41885714</v>
      </c>
      <c r="F592" s="21">
        <f>IFERROR(__xludf.DUMMYFUNCTION("""COMPUTED_VALUE"""),141.65214285714288)</f>
        <v>141.6521429</v>
      </c>
      <c r="G592" s="21">
        <f>IFERROR(__xludf.DUMMYFUNCTION("""COMPUTED_VALUE"""),95.83)</f>
        <v>95.83</v>
      </c>
    </row>
    <row r="593">
      <c r="A593" s="23">
        <f>IFERROR(__xludf.DUMMYFUNCTION("""COMPUTED_VALUE"""),45153.0)</f>
        <v>45153</v>
      </c>
      <c r="B593" s="21">
        <f>IFERROR(__xludf.DUMMYFUNCTION("""COMPUTED_VALUE"""),178.17)</f>
        <v>178.17</v>
      </c>
      <c r="C593" s="22">
        <f>IFERROR(__xludf.DUMMYFUNCTION("""COMPUTED_VALUE"""),154.18)</f>
        <v>154.18</v>
      </c>
      <c r="D593" s="22">
        <f>IFERROR(__xludf.DUMMYFUNCTION("""COMPUTED_VALUE"""),201.99)</f>
        <v>201.99</v>
      </c>
      <c r="E593" s="21">
        <f>IFERROR(__xludf.DUMMYFUNCTION("""COMPUTED_VALUE"""),101.66085714285715)</f>
        <v>101.6608571</v>
      </c>
      <c r="F593" s="21">
        <f>IFERROR(__xludf.DUMMYFUNCTION("""COMPUTED_VALUE"""),142.1142857142857)</f>
        <v>142.1142857</v>
      </c>
      <c r="G593" s="21">
        <f>IFERROR(__xludf.DUMMYFUNCTION("""COMPUTED_VALUE"""),95.83)</f>
        <v>95.83</v>
      </c>
    </row>
    <row r="594">
      <c r="A594" s="23">
        <f>IFERROR(__xludf.DUMMYFUNCTION("""COMPUTED_VALUE"""),45154.0)</f>
        <v>45154</v>
      </c>
      <c r="B594" s="21">
        <f>IFERROR(__xludf.DUMMYFUNCTION("""COMPUTED_VALUE"""),178.17)</f>
        <v>178.17</v>
      </c>
      <c r="C594" s="22">
        <f>IFERROR(__xludf.DUMMYFUNCTION("""COMPUTED_VALUE"""),154.18)</f>
        <v>154.18</v>
      </c>
      <c r="D594" s="22">
        <f>IFERROR(__xludf.DUMMYFUNCTION("""COMPUTED_VALUE"""),201.99)</f>
        <v>201.99</v>
      </c>
      <c r="E594" s="21">
        <f>IFERROR(__xludf.DUMMYFUNCTION("""COMPUTED_VALUE"""),103.24900000000001)</f>
        <v>103.249</v>
      </c>
      <c r="F594" s="21">
        <f>IFERROR(__xludf.DUMMYFUNCTION("""COMPUTED_VALUE"""),142.57642857142855)</f>
        <v>142.5764286</v>
      </c>
      <c r="G594" s="21">
        <f>IFERROR(__xludf.DUMMYFUNCTION("""COMPUTED_VALUE"""),95.83)</f>
        <v>95.83</v>
      </c>
    </row>
    <row r="595">
      <c r="A595" s="23">
        <f>IFERROR(__xludf.DUMMYFUNCTION("""COMPUTED_VALUE"""),45155.0)</f>
        <v>45155</v>
      </c>
      <c r="B595" s="21">
        <f>IFERROR(__xludf.DUMMYFUNCTION("""COMPUTED_VALUE"""),178.17)</f>
        <v>178.17</v>
      </c>
      <c r="C595" s="22">
        <f>IFERROR(__xludf.DUMMYFUNCTION("""COMPUTED_VALUE"""),154.18)</f>
        <v>154.18</v>
      </c>
      <c r="D595" s="22">
        <f>IFERROR(__xludf.DUMMYFUNCTION("""COMPUTED_VALUE"""),201.99)</f>
        <v>201.99</v>
      </c>
      <c r="E595" s="21">
        <f>IFERROR(__xludf.DUMMYFUNCTION("""COMPUTED_VALUE"""),105.10400000000001)</f>
        <v>105.104</v>
      </c>
      <c r="F595" s="21">
        <f>IFERROR(__xludf.DUMMYFUNCTION("""COMPUTED_VALUE"""),143.03857142857143)</f>
        <v>143.0385714</v>
      </c>
      <c r="G595" s="21">
        <f>IFERROR(__xludf.DUMMYFUNCTION("""COMPUTED_VALUE"""),95.83)</f>
        <v>95.83</v>
      </c>
    </row>
    <row r="596">
      <c r="A596" s="23">
        <f>IFERROR(__xludf.DUMMYFUNCTION("""COMPUTED_VALUE"""),45156.0)</f>
        <v>45156</v>
      </c>
      <c r="B596" s="21">
        <f>IFERROR(__xludf.DUMMYFUNCTION("""COMPUTED_VALUE"""),178.17)</f>
        <v>178.17</v>
      </c>
      <c r="C596" s="22">
        <f>IFERROR(__xludf.DUMMYFUNCTION("""COMPUTED_VALUE"""),154.18)</f>
        <v>154.18</v>
      </c>
      <c r="D596" s="22">
        <f>IFERROR(__xludf.DUMMYFUNCTION("""COMPUTED_VALUE"""),201.99)</f>
        <v>201.99</v>
      </c>
      <c r="E596" s="21">
        <f>IFERROR(__xludf.DUMMYFUNCTION("""COMPUTED_VALUE"""),105.81042857142859)</f>
        <v>105.8104286</v>
      </c>
      <c r="F596" s="21">
        <f>IFERROR(__xludf.DUMMYFUNCTION("""COMPUTED_VALUE"""),143.50071428571428)</f>
        <v>143.5007143</v>
      </c>
      <c r="G596" s="21">
        <f>IFERROR(__xludf.DUMMYFUNCTION("""COMPUTED_VALUE"""),95.83)</f>
        <v>95.83</v>
      </c>
    </row>
    <row r="597">
      <c r="A597" s="23">
        <f>IFERROR(__xludf.DUMMYFUNCTION("""COMPUTED_VALUE"""),45157.0)</f>
        <v>45157</v>
      </c>
      <c r="B597" s="21">
        <f>IFERROR(__xludf.DUMMYFUNCTION("""COMPUTED_VALUE"""),178.17)</f>
        <v>178.17</v>
      </c>
      <c r="C597" s="22">
        <f>IFERROR(__xludf.DUMMYFUNCTION("""COMPUTED_VALUE"""),154.18)</f>
        <v>154.18</v>
      </c>
      <c r="D597" s="22">
        <f>IFERROR(__xludf.DUMMYFUNCTION("""COMPUTED_VALUE"""),201.99)</f>
        <v>201.99</v>
      </c>
      <c r="E597" s="21">
        <f>IFERROR(__xludf.DUMMYFUNCTION("""COMPUTED_VALUE"""),107.55614734285714)</f>
        <v>107.5561473</v>
      </c>
      <c r="F597" s="21">
        <f>IFERROR(__xludf.DUMMYFUNCTION("""COMPUTED_VALUE"""),143.96285714285713)</f>
        <v>143.9628571</v>
      </c>
      <c r="G597" s="21">
        <f>IFERROR(__xludf.DUMMYFUNCTION("""COMPUTED_VALUE"""),95.83)</f>
        <v>95.83</v>
      </c>
    </row>
    <row r="598">
      <c r="A598" s="23">
        <f>IFERROR(__xludf.DUMMYFUNCTION("""COMPUTED_VALUE"""),45158.0)</f>
        <v>45158</v>
      </c>
      <c r="B598" s="21">
        <f>IFERROR(__xludf.DUMMYFUNCTION("""COMPUTED_VALUE"""),178.17)</f>
        <v>178.17</v>
      </c>
      <c r="C598" s="22">
        <f>IFERROR(__xludf.DUMMYFUNCTION("""COMPUTED_VALUE"""),154.18)</f>
        <v>154.18</v>
      </c>
      <c r="D598" s="22">
        <f>IFERROR(__xludf.DUMMYFUNCTION("""COMPUTED_VALUE"""),201.99)</f>
        <v>201.99</v>
      </c>
      <c r="E598" s="21">
        <f>IFERROR(__xludf.DUMMYFUNCTION("""COMPUTED_VALUE"""),106.66618739571429)</f>
        <v>106.6661874</v>
      </c>
      <c r="F598" s="21">
        <f>IFERROR(__xludf.DUMMYFUNCTION("""COMPUTED_VALUE"""),144.42499999999998)</f>
        <v>144.425</v>
      </c>
      <c r="G598" s="21">
        <f>IFERROR(__xludf.DUMMYFUNCTION("""COMPUTED_VALUE"""),95.83)</f>
        <v>95.83</v>
      </c>
    </row>
    <row r="599">
      <c r="A599" s="23">
        <f>IFERROR(__xludf.DUMMYFUNCTION("""COMPUTED_VALUE"""),45159.0)</f>
        <v>45159</v>
      </c>
      <c r="B599" s="21">
        <f>IFERROR(__xludf.DUMMYFUNCTION("""COMPUTED_VALUE"""),178.17)</f>
        <v>178.17</v>
      </c>
      <c r="C599" s="22">
        <f>IFERROR(__xludf.DUMMYFUNCTION("""COMPUTED_VALUE"""),154.18)</f>
        <v>154.18</v>
      </c>
      <c r="D599" s="22">
        <f>IFERROR(__xludf.DUMMYFUNCTION("""COMPUTED_VALUE"""),201.99)</f>
        <v>201.99</v>
      </c>
      <c r="E599" s="21">
        <f>IFERROR(__xludf.DUMMYFUNCTION("""COMPUTED_VALUE"""),108.77557713857145)</f>
        <v>108.7755771</v>
      </c>
      <c r="F599" s="21">
        <f>IFERROR(__xludf.DUMMYFUNCTION("""COMPUTED_VALUE"""),144.95535714285714)</f>
        <v>144.9553571</v>
      </c>
      <c r="G599" s="21">
        <f>IFERROR(__xludf.DUMMYFUNCTION("""COMPUTED_VALUE"""),95.83)</f>
        <v>95.83</v>
      </c>
    </row>
    <row r="600">
      <c r="A600" s="23">
        <f>IFERROR(__xludf.DUMMYFUNCTION("""COMPUTED_VALUE"""),45160.0)</f>
        <v>45160</v>
      </c>
      <c r="B600" s="21">
        <f>IFERROR(__xludf.DUMMYFUNCTION("""COMPUTED_VALUE"""),178.17)</f>
        <v>178.17</v>
      </c>
      <c r="C600" s="22">
        <f>IFERROR(__xludf.DUMMYFUNCTION("""COMPUTED_VALUE"""),154.18)</f>
        <v>154.18</v>
      </c>
      <c r="D600" s="22">
        <f>IFERROR(__xludf.DUMMYFUNCTION("""COMPUTED_VALUE"""),201.99)</f>
        <v>201.99</v>
      </c>
      <c r="E600" s="21">
        <f>IFERROR(__xludf.DUMMYFUNCTION("""COMPUTED_VALUE"""),113.62816549571428)</f>
        <v>113.6281655</v>
      </c>
      <c r="F600" s="21">
        <f>IFERROR(__xludf.DUMMYFUNCTION("""COMPUTED_VALUE"""),145.4857142857143)</f>
        <v>145.4857143</v>
      </c>
      <c r="G600" s="21">
        <f>IFERROR(__xludf.DUMMYFUNCTION("""COMPUTED_VALUE"""),95.83)</f>
        <v>95.83</v>
      </c>
    </row>
    <row r="601">
      <c r="A601" s="23">
        <f>IFERROR(__xludf.DUMMYFUNCTION("""COMPUTED_VALUE"""),45161.0)</f>
        <v>45161</v>
      </c>
      <c r="B601" s="21">
        <f>IFERROR(__xludf.DUMMYFUNCTION("""COMPUTED_VALUE"""),178.17)</f>
        <v>178.17</v>
      </c>
      <c r="C601" s="22">
        <f>IFERROR(__xludf.DUMMYFUNCTION("""COMPUTED_VALUE"""),154.18)</f>
        <v>154.18</v>
      </c>
      <c r="D601" s="22">
        <f>IFERROR(__xludf.DUMMYFUNCTION("""COMPUTED_VALUE"""),201.99)</f>
        <v>201.99</v>
      </c>
      <c r="E601" s="21">
        <f>IFERROR(__xludf.DUMMYFUNCTION("""COMPUTED_VALUE"""),120.69759571)</f>
        <v>120.6975957</v>
      </c>
      <c r="F601" s="21">
        <f>IFERROR(__xludf.DUMMYFUNCTION("""COMPUTED_VALUE"""),146.01607142857145)</f>
        <v>146.0160714</v>
      </c>
      <c r="G601" s="21">
        <f>IFERROR(__xludf.DUMMYFUNCTION("""COMPUTED_VALUE"""),95.83)</f>
        <v>95.83</v>
      </c>
    </row>
    <row r="602">
      <c r="A602" s="23">
        <f>IFERROR(__xludf.DUMMYFUNCTION("""COMPUTED_VALUE"""),45162.0)</f>
        <v>45162</v>
      </c>
      <c r="B602" s="21">
        <f>IFERROR(__xludf.DUMMYFUNCTION("""COMPUTED_VALUE"""),178.17)</f>
        <v>178.17</v>
      </c>
      <c r="C602" s="22">
        <f>IFERROR(__xludf.DUMMYFUNCTION("""COMPUTED_VALUE"""),154.18)</f>
        <v>154.18</v>
      </c>
      <c r="D602" s="22">
        <f>IFERROR(__xludf.DUMMYFUNCTION("""COMPUTED_VALUE"""),201.99)</f>
        <v>201.99</v>
      </c>
      <c r="E602" s="21">
        <f>IFERROR(__xludf.DUMMYFUNCTION("""COMPUTED_VALUE"""),128.48592876714287)</f>
        <v>128.4859288</v>
      </c>
      <c r="F602" s="21">
        <f>IFERROR(__xludf.DUMMYFUNCTION("""COMPUTED_VALUE"""),146.54642857142858)</f>
        <v>146.5464286</v>
      </c>
      <c r="G602" s="21">
        <f>IFERROR(__xludf.DUMMYFUNCTION("""COMPUTED_VALUE"""),95.83)</f>
        <v>95.83</v>
      </c>
    </row>
    <row r="603">
      <c r="A603" s="23">
        <f>IFERROR(__xludf.DUMMYFUNCTION("""COMPUTED_VALUE"""),45163.0)</f>
        <v>45163</v>
      </c>
      <c r="B603" s="21">
        <f>IFERROR(__xludf.DUMMYFUNCTION("""COMPUTED_VALUE"""),178.17)</f>
        <v>178.17</v>
      </c>
      <c r="C603" s="22">
        <f>IFERROR(__xludf.DUMMYFUNCTION("""COMPUTED_VALUE"""),154.18)</f>
        <v>154.18</v>
      </c>
      <c r="D603" s="22">
        <f>IFERROR(__xludf.DUMMYFUNCTION("""COMPUTED_VALUE"""),201.99)</f>
        <v>201.99</v>
      </c>
      <c r="E603" s="21">
        <f>IFERROR(__xludf.DUMMYFUNCTION("""COMPUTED_VALUE"""),133.23823201)</f>
        <v>133.238232</v>
      </c>
      <c r="F603" s="21">
        <f>IFERROR(__xludf.DUMMYFUNCTION("""COMPUTED_VALUE"""),147.07678571428573)</f>
        <v>147.0767857</v>
      </c>
      <c r="G603" s="21">
        <f>IFERROR(__xludf.DUMMYFUNCTION("""COMPUTED_VALUE"""),95.83)</f>
        <v>95.83</v>
      </c>
    </row>
    <row r="604">
      <c r="A604" s="23">
        <f>IFERROR(__xludf.DUMMYFUNCTION("""COMPUTED_VALUE"""),45164.0)</f>
        <v>45164</v>
      </c>
      <c r="B604" s="21">
        <f>IFERROR(__xludf.DUMMYFUNCTION("""COMPUTED_VALUE"""),178.17)</f>
        <v>178.17</v>
      </c>
      <c r="C604" s="22">
        <f>IFERROR(__xludf.DUMMYFUNCTION("""COMPUTED_VALUE"""),154.18)</f>
        <v>154.18</v>
      </c>
      <c r="D604" s="22">
        <f>IFERROR(__xludf.DUMMYFUNCTION("""COMPUTED_VALUE"""),201.99)</f>
        <v>201.99</v>
      </c>
      <c r="E604" s="21">
        <f>IFERROR(__xludf.DUMMYFUNCTION("""COMPUTED_VALUE"""),136.70433745285715)</f>
        <v>136.7043375</v>
      </c>
      <c r="F604" s="21">
        <f>IFERROR(__xludf.DUMMYFUNCTION("""COMPUTED_VALUE"""),147.60714285714286)</f>
        <v>147.6071429</v>
      </c>
      <c r="G604" s="21">
        <f>IFERROR(__xludf.DUMMYFUNCTION("""COMPUTED_VALUE"""),95.83)</f>
        <v>95.83</v>
      </c>
    </row>
    <row r="605">
      <c r="A605" s="23">
        <f>IFERROR(__xludf.DUMMYFUNCTION("""COMPUTED_VALUE"""),45165.0)</f>
        <v>45165</v>
      </c>
      <c r="B605" s="21">
        <f>IFERROR(__xludf.DUMMYFUNCTION("""COMPUTED_VALUE"""),178.17)</f>
        <v>178.17</v>
      </c>
      <c r="C605" s="22">
        <f>IFERROR(__xludf.DUMMYFUNCTION("""COMPUTED_VALUE"""),154.18)</f>
        <v>154.18</v>
      </c>
      <c r="D605" s="22">
        <f>IFERROR(__xludf.DUMMYFUNCTION("""COMPUTED_VALUE"""),201.99)</f>
        <v>201.99</v>
      </c>
      <c r="E605" s="21">
        <f>IFERROR(__xludf.DUMMYFUNCTION("""COMPUTED_VALUE"""),140.02050745714286)</f>
        <v>140.0205075</v>
      </c>
      <c r="F605" s="21">
        <f>IFERROR(__xludf.DUMMYFUNCTION("""COMPUTED_VALUE"""),148.13750000000002)</f>
        <v>148.1375</v>
      </c>
      <c r="G605" s="21">
        <f>IFERROR(__xludf.DUMMYFUNCTION("""COMPUTED_VALUE"""),95.83)</f>
        <v>95.83</v>
      </c>
    </row>
    <row r="606">
      <c r="A606" s="23">
        <f>IFERROR(__xludf.DUMMYFUNCTION("""COMPUTED_VALUE"""),45166.0)</f>
        <v>45166</v>
      </c>
      <c r="B606" s="21">
        <f>IFERROR(__xludf.DUMMYFUNCTION("""COMPUTED_VALUE"""),188.37)</f>
        <v>188.37</v>
      </c>
      <c r="C606" s="22">
        <f>IFERROR(__xludf.DUMMYFUNCTION("""COMPUTED_VALUE"""),153.78)</f>
        <v>153.78</v>
      </c>
      <c r="D606" s="22">
        <f>IFERROR(__xludf.DUMMYFUNCTION("""COMPUTED_VALUE"""),228.18)</f>
        <v>228.18</v>
      </c>
      <c r="E606" s="21">
        <f>IFERROR(__xludf.DUMMYFUNCTION("""COMPUTED_VALUE"""),140.09184294285714)</f>
        <v>140.0918429</v>
      </c>
      <c r="F606" s="21">
        <f>IFERROR(__xludf.DUMMYFUNCTION("""COMPUTED_VALUE"""),147.87071428571429)</f>
        <v>147.8707143</v>
      </c>
      <c r="G606" s="21">
        <f>IFERROR(__xludf.DUMMYFUNCTION("""COMPUTED_VALUE"""),95.83)</f>
        <v>95.83</v>
      </c>
    </row>
    <row r="607">
      <c r="A607" s="23">
        <f>IFERROR(__xludf.DUMMYFUNCTION("""COMPUTED_VALUE"""),45167.0)</f>
        <v>45167</v>
      </c>
      <c r="B607" s="21">
        <f>IFERROR(__xludf.DUMMYFUNCTION("""COMPUTED_VALUE"""),188.37)</f>
        <v>188.37</v>
      </c>
      <c r="C607" s="22">
        <f>IFERROR(__xludf.DUMMYFUNCTION("""COMPUTED_VALUE"""),153.78)</f>
        <v>153.78</v>
      </c>
      <c r="D607" s="22">
        <f>IFERROR(__xludf.DUMMYFUNCTION("""COMPUTED_VALUE"""),228.18)</f>
        <v>228.18</v>
      </c>
      <c r="E607" s="21">
        <f>IFERROR(__xludf.DUMMYFUNCTION("""COMPUTED_VALUE"""),138.0832357857143)</f>
        <v>138.0832358</v>
      </c>
      <c r="F607" s="21">
        <f>IFERROR(__xludf.DUMMYFUNCTION("""COMPUTED_VALUE"""),147.60392857142855)</f>
        <v>147.6039286</v>
      </c>
      <c r="G607" s="21">
        <f>IFERROR(__xludf.DUMMYFUNCTION("""COMPUTED_VALUE"""),95.83)</f>
        <v>95.83</v>
      </c>
    </row>
    <row r="608">
      <c r="A608" s="23">
        <f>IFERROR(__xludf.DUMMYFUNCTION("""COMPUTED_VALUE"""),45168.0)</f>
        <v>45168</v>
      </c>
      <c r="B608" s="21">
        <f>IFERROR(__xludf.DUMMYFUNCTION("""COMPUTED_VALUE"""),188.37)</f>
        <v>188.37</v>
      </c>
      <c r="C608" s="22">
        <f>IFERROR(__xludf.DUMMYFUNCTION("""COMPUTED_VALUE"""),153.78)</f>
        <v>153.78</v>
      </c>
      <c r="D608" s="22">
        <f>IFERROR(__xludf.DUMMYFUNCTION("""COMPUTED_VALUE"""),228.18)</f>
        <v>228.18</v>
      </c>
      <c r="E608" s="21">
        <f>IFERROR(__xludf.DUMMYFUNCTION("""COMPUTED_VALUE"""),131.1500681)</f>
        <v>131.1500681</v>
      </c>
      <c r="F608" s="21">
        <f>IFERROR(__xludf.DUMMYFUNCTION("""COMPUTED_VALUE"""),147.33714285714285)</f>
        <v>147.3371429</v>
      </c>
      <c r="G608" s="21">
        <f>IFERROR(__xludf.DUMMYFUNCTION("""COMPUTED_VALUE"""),95.83)</f>
        <v>95.83</v>
      </c>
    </row>
    <row r="609">
      <c r="A609" s="23">
        <f>IFERROR(__xludf.DUMMYFUNCTION("""COMPUTED_VALUE"""),45169.0)</f>
        <v>45169</v>
      </c>
      <c r="B609" s="21">
        <f>IFERROR(__xludf.DUMMYFUNCTION("""COMPUTED_VALUE"""),188.37)</f>
        <v>188.37</v>
      </c>
      <c r="C609" s="22">
        <f>IFERROR(__xludf.DUMMYFUNCTION("""COMPUTED_VALUE"""),153.78)</f>
        <v>153.78</v>
      </c>
      <c r="D609" s="22">
        <f>IFERROR(__xludf.DUMMYFUNCTION("""COMPUTED_VALUE"""),228.18)</f>
        <v>228.18</v>
      </c>
      <c r="E609" s="21">
        <f>IFERROR(__xludf.DUMMYFUNCTION("""COMPUTED_VALUE"""),125.31422524285715)</f>
        <v>125.3142252</v>
      </c>
      <c r="F609" s="21">
        <f>IFERROR(__xludf.DUMMYFUNCTION("""COMPUTED_VALUE"""),147.07035714285715)</f>
        <v>147.0703571</v>
      </c>
      <c r="G609" s="21">
        <f>IFERROR(__xludf.DUMMYFUNCTION("""COMPUTED_VALUE"""),95.83)</f>
        <v>95.83</v>
      </c>
    </row>
    <row r="610">
      <c r="A610" s="23">
        <f>IFERROR(__xludf.DUMMYFUNCTION("""COMPUTED_VALUE"""),45170.0)</f>
        <v>45170</v>
      </c>
      <c r="B610" s="21">
        <f>IFERROR(__xludf.DUMMYFUNCTION("""COMPUTED_VALUE"""),188.37)</f>
        <v>188.37</v>
      </c>
      <c r="C610" s="22">
        <f>IFERROR(__xludf.DUMMYFUNCTION("""COMPUTED_VALUE"""),153.78)</f>
        <v>153.78</v>
      </c>
      <c r="D610" s="22">
        <f>IFERROR(__xludf.DUMMYFUNCTION("""COMPUTED_VALUE"""),228.18)</f>
        <v>228.18</v>
      </c>
      <c r="E610" s="21">
        <f>IFERROR(__xludf.DUMMYFUNCTION("""COMPUTED_VALUE"""),121.54235057142856)</f>
        <v>121.5423506</v>
      </c>
      <c r="F610" s="21">
        <f>IFERROR(__xludf.DUMMYFUNCTION("""COMPUTED_VALUE"""),146.80357142857142)</f>
        <v>146.8035714</v>
      </c>
      <c r="G610" s="21">
        <f>IFERROR(__xludf.DUMMYFUNCTION("""COMPUTED_VALUE"""),95.83)</f>
        <v>95.83</v>
      </c>
    </row>
    <row r="611">
      <c r="A611" s="20">
        <f>IFERROR(__xludf.DUMMYFUNCTION("""COMPUTED_VALUE"""),45171.0)</f>
        <v>45171</v>
      </c>
      <c r="B611" s="21">
        <f>IFERROR(__xludf.DUMMYFUNCTION("""COMPUTED_VALUE"""),188.37)</f>
        <v>188.37</v>
      </c>
      <c r="C611" s="22">
        <f>IFERROR(__xludf.DUMMYFUNCTION("""COMPUTED_VALUE"""),153.78)</f>
        <v>153.78</v>
      </c>
      <c r="D611" s="22">
        <f>IFERROR(__xludf.DUMMYFUNCTION("""COMPUTED_VALUE"""),228.18)</f>
        <v>228.18</v>
      </c>
      <c r="E611" s="21">
        <f>IFERROR(__xludf.DUMMYFUNCTION("""COMPUTED_VALUE"""),117.38209778571427)</f>
        <v>117.3820978</v>
      </c>
      <c r="F611" s="21">
        <f>IFERROR(__xludf.DUMMYFUNCTION("""COMPUTED_VALUE"""),146.5367857142857)</f>
        <v>146.5367857</v>
      </c>
      <c r="G611" s="21">
        <f>IFERROR(__xludf.DUMMYFUNCTION("""COMPUTED_VALUE"""),95.83)</f>
        <v>95.83</v>
      </c>
    </row>
    <row r="612">
      <c r="A612" s="20">
        <f>IFERROR(__xludf.DUMMYFUNCTION("""COMPUTED_VALUE"""),45172.0)</f>
        <v>45172</v>
      </c>
      <c r="B612" s="21">
        <f>IFERROR(__xludf.DUMMYFUNCTION("""COMPUTED_VALUE"""),188.37)</f>
        <v>188.37</v>
      </c>
      <c r="C612" s="22">
        <f>IFERROR(__xludf.DUMMYFUNCTION("""COMPUTED_VALUE"""),153.78)</f>
        <v>153.78</v>
      </c>
      <c r="D612" s="22">
        <f>IFERROR(__xludf.DUMMYFUNCTION("""COMPUTED_VALUE"""),228.18)</f>
        <v>228.18</v>
      </c>
      <c r="E612" s="21">
        <f>IFERROR(__xludf.DUMMYFUNCTION("""COMPUTED_VALUE"""),113.81545915714285)</f>
        <v>113.8154592</v>
      </c>
      <c r="F612" s="21">
        <f>IFERROR(__xludf.DUMMYFUNCTION("""COMPUTED_VALUE"""),146.27)</f>
        <v>146.27</v>
      </c>
      <c r="G612" s="21">
        <f>IFERROR(__xludf.DUMMYFUNCTION("""COMPUTED_VALUE"""),95.83)</f>
        <v>95.83</v>
      </c>
    </row>
    <row r="613">
      <c r="A613" s="20">
        <f>IFERROR(__xludf.DUMMYFUNCTION("""COMPUTED_VALUE"""),45173.0)</f>
        <v>45173</v>
      </c>
      <c r="B613" s="21">
        <f>IFERROR(__xludf.DUMMYFUNCTION("""COMPUTED_VALUE"""),188.37)</f>
        <v>188.37</v>
      </c>
      <c r="C613" s="22">
        <f>IFERROR(__xludf.DUMMYFUNCTION("""COMPUTED_VALUE"""),153.78)</f>
        <v>153.78</v>
      </c>
      <c r="D613" s="22">
        <f>IFERROR(__xludf.DUMMYFUNCTION("""COMPUTED_VALUE"""),228.18)</f>
        <v>228.18</v>
      </c>
      <c r="E613" s="21">
        <f>IFERROR(__xludf.DUMMYFUNCTION("""COMPUTED_VALUE"""),111.32901964285713)</f>
        <v>111.3290196</v>
      </c>
      <c r="F613" s="21">
        <f>IFERROR(__xludf.DUMMYFUNCTION("""COMPUTED_VALUE"""),146.1057142857143)</f>
        <v>146.1057143</v>
      </c>
      <c r="G613" s="21">
        <f>IFERROR(__xludf.DUMMYFUNCTION("""COMPUTED_VALUE"""),95.83)</f>
        <v>95.83</v>
      </c>
    </row>
    <row r="614">
      <c r="A614" s="20">
        <f>IFERROR(__xludf.DUMMYFUNCTION("""COMPUTED_VALUE"""),45174.0)</f>
        <v>45174</v>
      </c>
      <c r="B614" s="21">
        <f>IFERROR(__xludf.DUMMYFUNCTION("""COMPUTED_VALUE"""),188.37)</f>
        <v>188.37</v>
      </c>
      <c r="C614" s="22">
        <f>IFERROR(__xludf.DUMMYFUNCTION("""COMPUTED_VALUE"""),153.78)</f>
        <v>153.78</v>
      </c>
      <c r="D614" s="22">
        <f>IFERROR(__xludf.DUMMYFUNCTION("""COMPUTED_VALUE"""),228.18)</f>
        <v>228.18</v>
      </c>
      <c r="E614" s="21">
        <f>IFERROR(__xludf.DUMMYFUNCTION("""COMPUTED_VALUE"""),108.30503844285715)</f>
        <v>108.3050384</v>
      </c>
      <c r="F614" s="21">
        <f>IFERROR(__xludf.DUMMYFUNCTION("""COMPUTED_VALUE"""),145.9414285714286)</f>
        <v>145.9414286</v>
      </c>
      <c r="G614" s="21">
        <f>IFERROR(__xludf.DUMMYFUNCTION("""COMPUTED_VALUE"""),95.83)</f>
        <v>95.83</v>
      </c>
    </row>
    <row r="615">
      <c r="A615" s="20">
        <f>IFERROR(__xludf.DUMMYFUNCTION("""COMPUTED_VALUE"""),45175.0)</f>
        <v>45175</v>
      </c>
      <c r="B615" s="21">
        <f>IFERROR(__xludf.DUMMYFUNCTION("""COMPUTED_VALUE"""),188.37)</f>
        <v>188.37</v>
      </c>
      <c r="C615" s="22">
        <f>IFERROR(__xludf.DUMMYFUNCTION("""COMPUTED_VALUE"""),153.78)</f>
        <v>153.78</v>
      </c>
      <c r="D615" s="22">
        <f>IFERROR(__xludf.DUMMYFUNCTION("""COMPUTED_VALUE"""),228.18)</f>
        <v>228.18</v>
      </c>
      <c r="E615" s="21">
        <f>IFERROR(__xludf.DUMMYFUNCTION("""COMPUTED_VALUE"""),107.8012044857143)</f>
        <v>107.8012045</v>
      </c>
      <c r="F615" s="21">
        <f>IFERROR(__xludf.DUMMYFUNCTION("""COMPUTED_VALUE"""),145.77714285714288)</f>
        <v>145.7771429</v>
      </c>
      <c r="G615" s="21">
        <f>IFERROR(__xludf.DUMMYFUNCTION("""COMPUTED_VALUE"""),95.83)</f>
        <v>95.83</v>
      </c>
    </row>
    <row r="616">
      <c r="A616" s="20">
        <f>IFERROR(__xludf.DUMMYFUNCTION("""COMPUTED_VALUE"""),45176.0)</f>
        <v>45176</v>
      </c>
      <c r="B616" s="21">
        <f>IFERROR(__xludf.DUMMYFUNCTION("""COMPUTED_VALUE"""),188.37)</f>
        <v>188.37</v>
      </c>
      <c r="C616" s="22">
        <f>IFERROR(__xludf.DUMMYFUNCTION("""COMPUTED_VALUE"""),153.78)</f>
        <v>153.78</v>
      </c>
      <c r="D616" s="22">
        <f>IFERROR(__xludf.DUMMYFUNCTION("""COMPUTED_VALUE"""),228.18)</f>
        <v>228.18</v>
      </c>
      <c r="E616" s="21">
        <f>IFERROR(__xludf.DUMMYFUNCTION("""COMPUTED_VALUE"""),105.85814285714287)</f>
        <v>105.8581429</v>
      </c>
      <c r="F616" s="21">
        <f>IFERROR(__xludf.DUMMYFUNCTION("""COMPUTED_VALUE"""),145.61285714285717)</f>
        <v>145.6128571</v>
      </c>
      <c r="G616" s="21">
        <f>IFERROR(__xludf.DUMMYFUNCTION("""COMPUTED_VALUE"""),95.83)</f>
        <v>95.83</v>
      </c>
    </row>
    <row r="617">
      <c r="A617" s="20">
        <f>IFERROR(__xludf.DUMMYFUNCTION("""COMPUTED_VALUE"""),45177.0)</f>
        <v>45177</v>
      </c>
      <c r="B617" s="21">
        <f>IFERROR(__xludf.DUMMYFUNCTION("""COMPUTED_VALUE"""),188.37)</f>
        <v>188.37</v>
      </c>
      <c r="C617" s="22">
        <f>IFERROR(__xludf.DUMMYFUNCTION("""COMPUTED_VALUE"""),153.78)</f>
        <v>153.78</v>
      </c>
      <c r="D617" s="22">
        <f>IFERROR(__xludf.DUMMYFUNCTION("""COMPUTED_VALUE"""),228.18)</f>
        <v>228.18</v>
      </c>
      <c r="E617" s="21">
        <f>IFERROR(__xludf.DUMMYFUNCTION("""COMPUTED_VALUE"""),104.90671428571429)</f>
        <v>104.9067143</v>
      </c>
      <c r="F617" s="21">
        <f>IFERROR(__xludf.DUMMYFUNCTION("""COMPUTED_VALUE"""),145.44857142857143)</f>
        <v>145.4485714</v>
      </c>
      <c r="G617" s="21">
        <f>IFERROR(__xludf.DUMMYFUNCTION("""COMPUTED_VALUE"""),95.83)</f>
        <v>95.83</v>
      </c>
    </row>
    <row r="618">
      <c r="A618" s="20">
        <f>IFERROR(__xludf.DUMMYFUNCTION("""COMPUTED_VALUE"""),45178.0)</f>
        <v>45178</v>
      </c>
      <c r="B618" s="21">
        <f>IFERROR(__xludf.DUMMYFUNCTION("""COMPUTED_VALUE"""),188.37)</f>
        <v>188.37</v>
      </c>
      <c r="C618" s="22">
        <f>IFERROR(__xludf.DUMMYFUNCTION("""COMPUTED_VALUE"""),153.78)</f>
        <v>153.78</v>
      </c>
      <c r="D618" s="22">
        <f>IFERROR(__xludf.DUMMYFUNCTION("""COMPUTED_VALUE"""),228.18)</f>
        <v>228.18</v>
      </c>
      <c r="E618" s="21">
        <f>IFERROR(__xludf.DUMMYFUNCTION("""COMPUTED_VALUE"""),105.631)</f>
        <v>105.631</v>
      </c>
      <c r="F618" s="21">
        <f>IFERROR(__xludf.DUMMYFUNCTION("""COMPUTED_VALUE"""),145.28428571428572)</f>
        <v>145.2842857</v>
      </c>
      <c r="G618" s="21">
        <f>IFERROR(__xludf.DUMMYFUNCTION("""COMPUTED_VALUE"""),95.83)</f>
        <v>95.83</v>
      </c>
    </row>
    <row r="619">
      <c r="A619" s="20">
        <f>IFERROR(__xludf.DUMMYFUNCTION("""COMPUTED_VALUE"""),45179.0)</f>
        <v>45179</v>
      </c>
      <c r="B619" s="21">
        <f>IFERROR(__xludf.DUMMYFUNCTION("""COMPUTED_VALUE"""),188.37)</f>
        <v>188.37</v>
      </c>
      <c r="C619" s="22">
        <f>IFERROR(__xludf.DUMMYFUNCTION("""COMPUTED_VALUE"""),153.78)</f>
        <v>153.78</v>
      </c>
      <c r="D619" s="22">
        <f>IFERROR(__xludf.DUMMYFUNCTION("""COMPUTED_VALUE"""),228.18)</f>
        <v>228.18</v>
      </c>
      <c r="E619" s="21">
        <f>IFERROR(__xludf.DUMMYFUNCTION("""COMPUTED_VALUE"""),107.80142857142857)</f>
        <v>107.8014286</v>
      </c>
      <c r="F619" s="21">
        <f>IFERROR(__xludf.DUMMYFUNCTION("""COMPUTED_VALUE"""),145.12)</f>
        <v>145.12</v>
      </c>
      <c r="G619" s="21">
        <f>IFERROR(__xludf.DUMMYFUNCTION("""COMPUTED_VALUE"""),95.83)</f>
        <v>95.83</v>
      </c>
    </row>
    <row r="620">
      <c r="A620" s="20">
        <f>IFERROR(__xludf.DUMMYFUNCTION("""COMPUTED_VALUE"""),45180.0)</f>
        <v>45180</v>
      </c>
      <c r="B620" s="21">
        <f>IFERROR(__xludf.DUMMYFUNCTION("""COMPUTED_VALUE"""),188.7)</f>
        <v>188.7</v>
      </c>
      <c r="C620" s="22">
        <f>IFERROR(__xludf.DUMMYFUNCTION("""COMPUTED_VALUE"""),155.9)</f>
        <v>155.9</v>
      </c>
      <c r="D620" s="22">
        <f>IFERROR(__xludf.DUMMYFUNCTION("""COMPUTED_VALUE"""),225.54)</f>
        <v>225.54</v>
      </c>
      <c r="E620" s="21">
        <f>IFERROR(__xludf.DUMMYFUNCTION("""COMPUTED_VALUE"""),111.34142857142857)</f>
        <v>111.3414286</v>
      </c>
      <c r="F620" s="21">
        <f>IFERROR(__xludf.DUMMYFUNCTION("""COMPUTED_VALUE"""),144.67285714285714)</f>
        <v>144.6728571</v>
      </c>
      <c r="G620" s="21">
        <f>IFERROR(__xludf.DUMMYFUNCTION("""COMPUTED_VALUE"""),95.83)</f>
        <v>95.83</v>
      </c>
    </row>
    <row r="621">
      <c r="A621" s="20">
        <f>IFERROR(__xludf.DUMMYFUNCTION("""COMPUTED_VALUE"""),45181.0)</f>
        <v>45181</v>
      </c>
      <c r="B621" s="21">
        <f>IFERROR(__xludf.DUMMYFUNCTION("""COMPUTED_VALUE"""),188.7)</f>
        <v>188.7</v>
      </c>
      <c r="C621" s="22">
        <f>IFERROR(__xludf.DUMMYFUNCTION("""COMPUTED_VALUE"""),155.9)</f>
        <v>155.9</v>
      </c>
      <c r="D621" s="22">
        <f>IFERROR(__xludf.DUMMYFUNCTION("""COMPUTED_VALUE"""),225.54)</f>
        <v>225.54</v>
      </c>
      <c r="E621" s="21">
        <f>IFERROR(__xludf.DUMMYFUNCTION("""COMPUTED_VALUE"""),114.49857142857142)</f>
        <v>114.4985714</v>
      </c>
      <c r="F621" s="21">
        <f>IFERROR(__xludf.DUMMYFUNCTION("""COMPUTED_VALUE"""),144.2257142857143)</f>
        <v>144.2257143</v>
      </c>
      <c r="G621" s="21">
        <f>IFERROR(__xludf.DUMMYFUNCTION("""COMPUTED_VALUE"""),95.83)</f>
        <v>95.83</v>
      </c>
    </row>
    <row r="622">
      <c r="A622" s="20">
        <f>IFERROR(__xludf.DUMMYFUNCTION("""COMPUTED_VALUE"""),45182.0)</f>
        <v>45182</v>
      </c>
      <c r="B622" s="21">
        <f>IFERROR(__xludf.DUMMYFUNCTION("""COMPUTED_VALUE"""),188.7)</f>
        <v>188.7</v>
      </c>
      <c r="C622" s="22">
        <f>IFERROR(__xludf.DUMMYFUNCTION("""COMPUTED_VALUE"""),155.9)</f>
        <v>155.9</v>
      </c>
      <c r="D622" s="22">
        <f>IFERROR(__xludf.DUMMYFUNCTION("""COMPUTED_VALUE"""),225.54)</f>
        <v>225.54</v>
      </c>
      <c r="E622" s="21">
        <f>IFERROR(__xludf.DUMMYFUNCTION("""COMPUTED_VALUE"""),117.47428571428574)</f>
        <v>117.4742857</v>
      </c>
      <c r="F622" s="21">
        <f>IFERROR(__xludf.DUMMYFUNCTION("""COMPUTED_VALUE"""),143.77857142857144)</f>
        <v>143.7785714</v>
      </c>
      <c r="G622" s="21">
        <f>IFERROR(__xludf.DUMMYFUNCTION("""COMPUTED_VALUE"""),95.83)</f>
        <v>95.83</v>
      </c>
    </row>
    <row r="623">
      <c r="A623" s="23">
        <f>IFERROR(__xludf.DUMMYFUNCTION("""COMPUTED_VALUE"""),45183.0)</f>
        <v>45183</v>
      </c>
      <c r="B623" s="21">
        <f>IFERROR(__xludf.DUMMYFUNCTION("""COMPUTED_VALUE"""),188.7)</f>
        <v>188.7</v>
      </c>
      <c r="C623" s="22">
        <f>IFERROR(__xludf.DUMMYFUNCTION("""COMPUTED_VALUE"""),155.9)</f>
        <v>155.9</v>
      </c>
      <c r="D623" s="22">
        <f>IFERROR(__xludf.DUMMYFUNCTION("""COMPUTED_VALUE"""),225.54)</f>
        <v>225.54</v>
      </c>
      <c r="E623" s="21">
        <f>IFERROR(__xludf.DUMMYFUNCTION("""COMPUTED_VALUE"""),120.13714285714286)</f>
        <v>120.1371429</v>
      </c>
      <c r="F623" s="21">
        <f>IFERROR(__xludf.DUMMYFUNCTION("""COMPUTED_VALUE"""),143.33142857142857)</f>
        <v>143.3314286</v>
      </c>
      <c r="G623" s="21">
        <f>IFERROR(__xludf.DUMMYFUNCTION("""COMPUTED_VALUE"""),95.83)</f>
        <v>95.83</v>
      </c>
    </row>
    <row r="624">
      <c r="A624" s="23">
        <f>IFERROR(__xludf.DUMMYFUNCTION("""COMPUTED_VALUE"""),45184.0)</f>
        <v>45184</v>
      </c>
      <c r="B624" s="21">
        <f>IFERROR(__xludf.DUMMYFUNCTION("""COMPUTED_VALUE"""),188.7)</f>
        <v>188.7</v>
      </c>
      <c r="C624" s="22">
        <f>IFERROR(__xludf.DUMMYFUNCTION("""COMPUTED_VALUE"""),155.9)</f>
        <v>155.9</v>
      </c>
      <c r="D624" s="22">
        <f>IFERROR(__xludf.DUMMYFUNCTION("""COMPUTED_VALUE"""),225.54)</f>
        <v>225.54</v>
      </c>
      <c r="E624" s="21">
        <f>IFERROR(__xludf.DUMMYFUNCTION("""COMPUTED_VALUE"""),122.89285714285714)</f>
        <v>122.8928571</v>
      </c>
      <c r="F624" s="21">
        <f>IFERROR(__xludf.DUMMYFUNCTION("""COMPUTED_VALUE"""),142.8842857142857)</f>
        <v>142.8842857</v>
      </c>
      <c r="G624" s="21">
        <f>IFERROR(__xludf.DUMMYFUNCTION("""COMPUTED_VALUE"""),95.83)</f>
        <v>95.83</v>
      </c>
    </row>
    <row r="625">
      <c r="A625" s="23">
        <f>IFERROR(__xludf.DUMMYFUNCTION("""COMPUTED_VALUE"""),45185.0)</f>
        <v>45185</v>
      </c>
      <c r="B625" s="21">
        <f>IFERROR(__xludf.DUMMYFUNCTION("""COMPUTED_VALUE"""),188.7)</f>
        <v>188.7</v>
      </c>
      <c r="C625" s="22">
        <f>IFERROR(__xludf.DUMMYFUNCTION("""COMPUTED_VALUE"""),155.9)</f>
        <v>155.9</v>
      </c>
      <c r="D625" s="22">
        <f>IFERROR(__xludf.DUMMYFUNCTION("""COMPUTED_VALUE"""),225.54)</f>
        <v>225.54</v>
      </c>
      <c r="E625" s="21">
        <f>IFERROR(__xludf.DUMMYFUNCTION("""COMPUTED_VALUE"""),125.57715972857143)</f>
        <v>125.5771597</v>
      </c>
      <c r="F625" s="21">
        <f>IFERROR(__xludf.DUMMYFUNCTION("""COMPUTED_VALUE"""),142.43714285714287)</f>
        <v>142.4371429</v>
      </c>
      <c r="G625" s="21">
        <f>IFERROR(__xludf.DUMMYFUNCTION("""COMPUTED_VALUE"""),95.83)</f>
        <v>95.83</v>
      </c>
    </row>
    <row r="626">
      <c r="A626" s="23">
        <f>IFERROR(__xludf.DUMMYFUNCTION("""COMPUTED_VALUE"""),45186.0)</f>
        <v>45186</v>
      </c>
      <c r="B626" s="21">
        <f>IFERROR(__xludf.DUMMYFUNCTION("""COMPUTED_VALUE"""),188.7)</f>
        <v>188.7</v>
      </c>
      <c r="C626" s="22">
        <f>IFERROR(__xludf.DUMMYFUNCTION("""COMPUTED_VALUE"""),155.9)</f>
        <v>155.9</v>
      </c>
      <c r="D626" s="22">
        <f>IFERROR(__xludf.DUMMYFUNCTION("""COMPUTED_VALUE"""),225.54)</f>
        <v>225.54</v>
      </c>
      <c r="E626" s="21">
        <f>IFERROR(__xludf.DUMMYFUNCTION("""COMPUTED_VALUE"""),125.65619138571427)</f>
        <v>125.6561914</v>
      </c>
      <c r="F626" s="21">
        <f>IFERROR(__xludf.DUMMYFUNCTION("""COMPUTED_VALUE"""),141.99)</f>
        <v>141.99</v>
      </c>
      <c r="G626" s="21">
        <f>IFERROR(__xludf.DUMMYFUNCTION("""COMPUTED_VALUE"""),95.83)</f>
        <v>95.83</v>
      </c>
    </row>
    <row r="627">
      <c r="A627" s="23">
        <f>IFERROR(__xludf.DUMMYFUNCTION("""COMPUTED_VALUE"""),45187.0)</f>
        <v>45187</v>
      </c>
      <c r="B627" s="21">
        <f>IFERROR(__xludf.DUMMYFUNCTION("""COMPUTED_VALUE"""),188.7)</f>
        <v>188.7</v>
      </c>
      <c r="C627" s="22">
        <f>IFERROR(__xludf.DUMMYFUNCTION("""COMPUTED_VALUE"""),155.9)</f>
        <v>155.9</v>
      </c>
      <c r="D627" s="22">
        <f>IFERROR(__xludf.DUMMYFUNCTION("""COMPUTED_VALUE"""),225.54)</f>
        <v>225.54</v>
      </c>
      <c r="E627" s="21">
        <f>IFERROR(__xludf.DUMMYFUNCTION("""COMPUTED_VALUE"""),124.96429669999999)</f>
        <v>124.9642967</v>
      </c>
      <c r="F627" s="21">
        <f>IFERROR(__xludf.DUMMYFUNCTION("""COMPUTED_VALUE"""),141.99)</f>
        <v>141.99</v>
      </c>
      <c r="G627" s="21">
        <f>IFERROR(__xludf.DUMMYFUNCTION("""COMPUTED_VALUE"""),95.83)</f>
        <v>95.83</v>
      </c>
    </row>
    <row r="628">
      <c r="A628" s="23">
        <f>IFERROR(__xludf.DUMMYFUNCTION("""COMPUTED_VALUE"""),45188.0)</f>
        <v>45188</v>
      </c>
      <c r="B628" s="21">
        <f>IFERROR(__xludf.DUMMYFUNCTION("""COMPUTED_VALUE"""),188.7)</f>
        <v>188.7</v>
      </c>
      <c r="C628" s="22">
        <f>IFERROR(__xludf.DUMMYFUNCTION("""COMPUTED_VALUE"""),155.9)</f>
        <v>155.9</v>
      </c>
      <c r="D628" s="22">
        <f>IFERROR(__xludf.DUMMYFUNCTION("""COMPUTED_VALUE"""),225.54)</f>
        <v>225.54</v>
      </c>
      <c r="E628" s="21">
        <f>IFERROR(__xludf.DUMMYFUNCTION("""COMPUTED_VALUE"""),124.73470837142857)</f>
        <v>124.7347084</v>
      </c>
      <c r="F628" s="21">
        <f>IFERROR(__xludf.DUMMYFUNCTION("""COMPUTED_VALUE"""),141.99)</f>
        <v>141.99</v>
      </c>
      <c r="G628" s="21">
        <f>IFERROR(__xludf.DUMMYFUNCTION("""COMPUTED_VALUE"""),95.83)</f>
        <v>95.83</v>
      </c>
    </row>
    <row r="629">
      <c r="A629" s="23">
        <f>IFERROR(__xludf.DUMMYFUNCTION("""COMPUTED_VALUE"""),45189.0)</f>
        <v>45189</v>
      </c>
      <c r="B629" s="21">
        <f>IFERROR(__xludf.DUMMYFUNCTION("""COMPUTED_VALUE"""),188.7)</f>
        <v>188.7</v>
      </c>
      <c r="C629" s="22">
        <f>IFERROR(__xludf.DUMMYFUNCTION("""COMPUTED_VALUE"""),155.9)</f>
        <v>155.9</v>
      </c>
      <c r="D629" s="22">
        <f>IFERROR(__xludf.DUMMYFUNCTION("""COMPUTED_VALUE"""),225.54)</f>
        <v>225.54</v>
      </c>
      <c r="E629" s="21">
        <f>IFERROR(__xludf.DUMMYFUNCTION("""COMPUTED_VALUE"""),124.7219636)</f>
        <v>124.7219636</v>
      </c>
      <c r="F629" s="21">
        <f>IFERROR(__xludf.DUMMYFUNCTION("""COMPUTED_VALUE"""),141.99)</f>
        <v>141.99</v>
      </c>
      <c r="G629" s="21">
        <f>IFERROR(__xludf.DUMMYFUNCTION("""COMPUTED_VALUE"""),95.83)</f>
        <v>95.83</v>
      </c>
    </row>
    <row r="630">
      <c r="A630" s="23">
        <f>IFERROR(__xludf.DUMMYFUNCTION("""COMPUTED_VALUE"""),45190.0)</f>
        <v>45190</v>
      </c>
      <c r="B630" s="21">
        <f>IFERROR(__xludf.DUMMYFUNCTION("""COMPUTED_VALUE"""),188.7)</f>
        <v>188.7</v>
      </c>
      <c r="C630" s="22">
        <f>IFERROR(__xludf.DUMMYFUNCTION("""COMPUTED_VALUE"""),155.9)</f>
        <v>155.9</v>
      </c>
      <c r="D630" s="22">
        <f>IFERROR(__xludf.DUMMYFUNCTION("""COMPUTED_VALUE"""),225.54)</f>
        <v>225.54</v>
      </c>
      <c r="E630" s="21">
        <f>IFERROR(__xludf.DUMMYFUNCTION("""COMPUTED_VALUE"""),123.21192262857143)</f>
        <v>123.2119226</v>
      </c>
      <c r="F630" s="21">
        <f>IFERROR(__xludf.DUMMYFUNCTION("""COMPUTED_VALUE"""),141.99)</f>
        <v>141.99</v>
      </c>
      <c r="G630" s="21">
        <f>IFERROR(__xludf.DUMMYFUNCTION("""COMPUTED_VALUE"""),95.83)</f>
        <v>95.83</v>
      </c>
    </row>
    <row r="631">
      <c r="A631" s="23">
        <f>IFERROR(__xludf.DUMMYFUNCTION("""COMPUTED_VALUE"""),45191.0)</f>
        <v>45191</v>
      </c>
      <c r="B631" s="21">
        <f>IFERROR(__xludf.DUMMYFUNCTION("""COMPUTED_VALUE"""),188.7)</f>
        <v>188.7</v>
      </c>
      <c r="C631" s="22">
        <f>IFERROR(__xludf.DUMMYFUNCTION("""COMPUTED_VALUE"""),155.9)</f>
        <v>155.9</v>
      </c>
      <c r="D631" s="22">
        <f>IFERROR(__xludf.DUMMYFUNCTION("""COMPUTED_VALUE"""),225.54)</f>
        <v>225.54</v>
      </c>
      <c r="E631" s="21">
        <f>IFERROR(__xludf.DUMMYFUNCTION("""COMPUTED_VALUE"""),122.13884311428569)</f>
        <v>122.1388431</v>
      </c>
      <c r="F631" s="21">
        <f>IFERROR(__xludf.DUMMYFUNCTION("""COMPUTED_VALUE"""),141.99035714285716)</f>
        <v>141.9903571</v>
      </c>
      <c r="G631" s="21">
        <f>IFERROR(__xludf.DUMMYFUNCTION("""COMPUTED_VALUE"""),95.83)</f>
        <v>95.83</v>
      </c>
    </row>
    <row r="632">
      <c r="A632" s="23">
        <f>IFERROR(__xludf.DUMMYFUNCTION("""COMPUTED_VALUE"""),45192.0)</f>
        <v>45192</v>
      </c>
      <c r="B632" s="21">
        <f>IFERROR(__xludf.DUMMYFUNCTION("""COMPUTED_VALUE"""),188.7)</f>
        <v>188.7</v>
      </c>
      <c r="C632" s="22">
        <f>IFERROR(__xludf.DUMMYFUNCTION("""COMPUTED_VALUE"""),155.9)</f>
        <v>155.9</v>
      </c>
      <c r="D632" s="22">
        <f>IFERROR(__xludf.DUMMYFUNCTION("""COMPUTED_VALUE"""),225.54)</f>
        <v>225.54</v>
      </c>
      <c r="E632" s="21">
        <f>IFERROR(__xludf.DUMMYFUNCTION("""COMPUTED_VALUE"""),121.40570502857142)</f>
        <v>121.405705</v>
      </c>
      <c r="F632" s="21">
        <f>IFERROR(__xludf.DUMMYFUNCTION("""COMPUTED_VALUE"""),141.99071428571432)</f>
        <v>141.9907143</v>
      </c>
      <c r="G632" s="21">
        <f>IFERROR(__xludf.DUMMYFUNCTION("""COMPUTED_VALUE"""),95.83)</f>
        <v>95.83</v>
      </c>
    </row>
    <row r="633">
      <c r="A633" s="23">
        <f>IFERROR(__xludf.DUMMYFUNCTION("""COMPUTED_VALUE"""),45193.0)</f>
        <v>45193</v>
      </c>
      <c r="B633" s="21">
        <f>IFERROR(__xludf.DUMMYFUNCTION("""COMPUTED_VALUE"""),188.7)</f>
        <v>188.7</v>
      </c>
      <c r="C633" s="22">
        <f>IFERROR(__xludf.DUMMYFUNCTION("""COMPUTED_VALUE"""),155.9)</f>
        <v>155.9</v>
      </c>
      <c r="D633" s="22">
        <f>IFERROR(__xludf.DUMMYFUNCTION("""COMPUTED_VALUE"""),225.54)</f>
        <v>225.54</v>
      </c>
      <c r="E633" s="21">
        <f>IFERROR(__xludf.DUMMYFUNCTION("""COMPUTED_VALUE"""),119.48186532)</f>
        <v>119.4818653</v>
      </c>
      <c r="F633" s="21">
        <f>IFERROR(__xludf.DUMMYFUNCTION("""COMPUTED_VALUE"""),141.99107142857147)</f>
        <v>141.9910714</v>
      </c>
      <c r="G633" s="21">
        <f>IFERROR(__xludf.DUMMYFUNCTION("""COMPUTED_VALUE"""),95.83)</f>
        <v>95.83</v>
      </c>
    </row>
    <row r="634">
      <c r="A634" s="23">
        <f>IFERROR(__xludf.DUMMYFUNCTION("""COMPUTED_VALUE"""),45194.0)</f>
        <v>45194</v>
      </c>
      <c r="B634" s="21">
        <f>IFERROR(__xludf.DUMMYFUNCTION("""COMPUTED_VALUE"""),175.79)</f>
        <v>175.79</v>
      </c>
      <c r="C634" s="22">
        <f>IFERROR(__xludf.DUMMYFUNCTION("""COMPUTED_VALUE"""),153.02)</f>
        <v>153.02</v>
      </c>
      <c r="D634" s="22">
        <f>IFERROR(__xludf.DUMMYFUNCTION("""COMPUTED_VALUE"""),192.24)</f>
        <v>192.24</v>
      </c>
      <c r="E634" s="21">
        <f>IFERROR(__xludf.DUMMYFUNCTION("""COMPUTED_VALUE"""),118.25299517714286)</f>
        <v>118.2529952</v>
      </c>
      <c r="F634" s="21">
        <f>IFERROR(__xludf.DUMMYFUNCTION("""COMPUTED_VALUE"""),141.27350000000004)</f>
        <v>141.2735</v>
      </c>
      <c r="G634" s="21">
        <f>IFERROR(__xludf.DUMMYFUNCTION("""COMPUTED_VALUE"""),95.83)</f>
        <v>95.83</v>
      </c>
    </row>
    <row r="635">
      <c r="A635" s="23">
        <f>IFERROR(__xludf.DUMMYFUNCTION("""COMPUTED_VALUE"""),45195.0)</f>
        <v>45195</v>
      </c>
      <c r="B635" s="21">
        <f>IFERROR(__xludf.DUMMYFUNCTION("""COMPUTED_VALUE"""),175.79)</f>
        <v>175.79</v>
      </c>
      <c r="C635" s="22">
        <f>IFERROR(__xludf.DUMMYFUNCTION("""COMPUTED_VALUE"""),153.02)</f>
        <v>153.02</v>
      </c>
      <c r="D635" s="22">
        <f>IFERROR(__xludf.DUMMYFUNCTION("""COMPUTED_VALUE"""),192.24)</f>
        <v>192.24</v>
      </c>
      <c r="E635" s="21">
        <f>IFERROR(__xludf.DUMMYFUNCTION("""COMPUTED_VALUE"""),117.7875718057143)</f>
        <v>117.7875718</v>
      </c>
      <c r="F635" s="21">
        <f>IFERROR(__xludf.DUMMYFUNCTION("""COMPUTED_VALUE"""),140.55592857142855)</f>
        <v>140.5559286</v>
      </c>
      <c r="G635" s="21">
        <f>IFERROR(__xludf.DUMMYFUNCTION("""COMPUTED_VALUE"""),95.83)</f>
        <v>95.83</v>
      </c>
    </row>
    <row r="636">
      <c r="A636" s="23">
        <f>IFERROR(__xludf.DUMMYFUNCTION("""COMPUTED_VALUE"""),45196.0)</f>
        <v>45196</v>
      </c>
      <c r="B636" s="21">
        <f>IFERROR(__xludf.DUMMYFUNCTION("""COMPUTED_VALUE"""),175.79)</f>
        <v>175.79</v>
      </c>
      <c r="C636" s="22">
        <f>IFERROR(__xludf.DUMMYFUNCTION("""COMPUTED_VALUE"""),153.02)</f>
        <v>153.02</v>
      </c>
      <c r="D636" s="22">
        <f>IFERROR(__xludf.DUMMYFUNCTION("""COMPUTED_VALUE"""),192.24)</f>
        <v>192.24</v>
      </c>
      <c r="E636" s="21">
        <f>IFERROR(__xludf.DUMMYFUNCTION("""COMPUTED_VALUE"""),117.92869296285714)</f>
        <v>117.928693</v>
      </c>
      <c r="F636" s="21">
        <f>IFERROR(__xludf.DUMMYFUNCTION("""COMPUTED_VALUE"""),139.83835714285712)</f>
        <v>139.8383571</v>
      </c>
      <c r="G636" s="21">
        <f>IFERROR(__xludf.DUMMYFUNCTION("""COMPUTED_VALUE"""),95.83)</f>
        <v>95.83</v>
      </c>
    </row>
    <row r="637">
      <c r="A637" s="23">
        <f>IFERROR(__xludf.DUMMYFUNCTION("""COMPUTED_VALUE"""),45197.0)</f>
        <v>45197</v>
      </c>
      <c r="B637" s="21">
        <f>IFERROR(__xludf.DUMMYFUNCTION("""COMPUTED_VALUE"""),175.79)</f>
        <v>175.79</v>
      </c>
      <c r="C637" s="22">
        <f>IFERROR(__xludf.DUMMYFUNCTION("""COMPUTED_VALUE"""),153.02)</f>
        <v>153.02</v>
      </c>
      <c r="D637" s="22">
        <f>IFERROR(__xludf.DUMMYFUNCTION("""COMPUTED_VALUE"""),192.24)</f>
        <v>192.24</v>
      </c>
      <c r="E637" s="21">
        <f>IFERROR(__xludf.DUMMYFUNCTION("""COMPUTED_VALUE"""),117.19571973428573)</f>
        <v>117.1957197</v>
      </c>
      <c r="F637" s="21">
        <f>IFERROR(__xludf.DUMMYFUNCTION("""COMPUTED_VALUE"""),139.12078571428572)</f>
        <v>139.1207857</v>
      </c>
      <c r="G637" s="21">
        <f>IFERROR(__xludf.DUMMYFUNCTION("""COMPUTED_VALUE"""),95.83)</f>
        <v>95.83</v>
      </c>
    </row>
    <row r="638">
      <c r="A638" s="23">
        <f>IFERROR(__xludf.DUMMYFUNCTION("""COMPUTED_VALUE"""),45198.0)</f>
        <v>45198</v>
      </c>
      <c r="B638" s="21">
        <f>IFERROR(__xludf.DUMMYFUNCTION("""COMPUTED_VALUE"""),175.79)</f>
        <v>175.79</v>
      </c>
      <c r="C638" s="22">
        <f>IFERROR(__xludf.DUMMYFUNCTION("""COMPUTED_VALUE"""),153.02)</f>
        <v>153.02</v>
      </c>
      <c r="D638" s="22">
        <f>IFERROR(__xludf.DUMMYFUNCTION("""COMPUTED_VALUE"""),192.24)</f>
        <v>192.24</v>
      </c>
      <c r="E638" s="21">
        <f>IFERROR(__xludf.DUMMYFUNCTION("""COMPUTED_VALUE"""),118.3460035914286)</f>
        <v>118.3460036</v>
      </c>
      <c r="F638" s="21">
        <f>IFERROR(__xludf.DUMMYFUNCTION("""COMPUTED_VALUE"""),138.40285714285713)</f>
        <v>138.4028571</v>
      </c>
      <c r="G638" s="21">
        <f>IFERROR(__xludf.DUMMYFUNCTION("""COMPUTED_VALUE"""),95.83)</f>
        <v>95.83</v>
      </c>
    </row>
    <row r="639">
      <c r="A639" s="23">
        <f>IFERROR(__xludf.DUMMYFUNCTION("""COMPUTED_VALUE"""),45199.0)</f>
        <v>45199</v>
      </c>
      <c r="B639" s="21">
        <f>IFERROR(__xludf.DUMMYFUNCTION("""COMPUTED_VALUE"""),175.79)</f>
        <v>175.79</v>
      </c>
      <c r="C639" s="22">
        <f>IFERROR(__xludf.DUMMYFUNCTION("""COMPUTED_VALUE"""),153.02)</f>
        <v>153.02</v>
      </c>
      <c r="D639" s="22">
        <f>IFERROR(__xludf.DUMMYFUNCTION("""COMPUTED_VALUE"""),192.24)</f>
        <v>192.24</v>
      </c>
      <c r="E639" s="21">
        <f>IFERROR(__xludf.DUMMYFUNCTION("""COMPUTED_VALUE"""),117.97820306285715)</f>
        <v>117.9782031</v>
      </c>
      <c r="F639" s="21">
        <f>IFERROR(__xludf.DUMMYFUNCTION("""COMPUTED_VALUE"""),137.68492857142857)</f>
        <v>137.6849286</v>
      </c>
      <c r="G639" s="21">
        <f>IFERROR(__xludf.DUMMYFUNCTION("""COMPUTED_VALUE"""),95.83)</f>
        <v>95.83</v>
      </c>
    </row>
    <row r="640">
      <c r="A640" s="23">
        <f>IFERROR(__xludf.DUMMYFUNCTION("""COMPUTED_VALUE"""),45200.0)</f>
        <v>45200</v>
      </c>
      <c r="B640" s="21">
        <f>IFERROR(__xludf.DUMMYFUNCTION("""COMPUTED_VALUE"""),175.79)</f>
        <v>175.79</v>
      </c>
      <c r="C640" s="22">
        <f>IFERROR(__xludf.DUMMYFUNCTION("""COMPUTED_VALUE"""),153.02)</f>
        <v>153.02</v>
      </c>
      <c r="D640" s="22">
        <f>IFERROR(__xludf.DUMMYFUNCTION("""COMPUTED_VALUE"""),192.24)</f>
        <v>192.24</v>
      </c>
      <c r="E640" s="21">
        <f>IFERROR(__xludf.DUMMYFUNCTION("""COMPUTED_VALUE"""),117.81594949142858)</f>
        <v>117.8159495</v>
      </c>
      <c r="F640" s="21">
        <f>IFERROR(__xludf.DUMMYFUNCTION("""COMPUTED_VALUE"""),136.967)</f>
        <v>136.967</v>
      </c>
      <c r="G640" s="21">
        <f>IFERROR(__xludf.DUMMYFUNCTION("""COMPUTED_VALUE"""),133.78)</f>
        <v>133.78</v>
      </c>
    </row>
    <row r="641">
      <c r="A641" s="20">
        <f>IFERROR(__xludf.DUMMYFUNCTION("""COMPUTED_VALUE"""),45201.0)</f>
        <v>45201</v>
      </c>
      <c r="B641" s="21">
        <f>IFERROR(__xludf.DUMMYFUNCTION("""COMPUTED_VALUE"""),175.79)</f>
        <v>175.79</v>
      </c>
      <c r="C641" s="22">
        <f>IFERROR(__xludf.DUMMYFUNCTION("""COMPUTED_VALUE"""),153.02)</f>
        <v>153.02</v>
      </c>
      <c r="D641" s="22">
        <f>IFERROR(__xludf.DUMMYFUNCTION("""COMPUTED_VALUE"""),192.24)</f>
        <v>192.24</v>
      </c>
      <c r="E641" s="21">
        <f>IFERROR(__xludf.DUMMYFUNCTION("""COMPUTED_VALUE"""),118.74956544857142)</f>
        <v>118.7495654</v>
      </c>
      <c r="F641" s="21">
        <f>IFERROR(__xludf.DUMMYFUNCTION("""COMPUTED_VALUE"""),135.57850000000002)</f>
        <v>135.5785</v>
      </c>
      <c r="G641" s="21">
        <f>IFERROR(__xludf.DUMMYFUNCTION("""COMPUTED_VALUE"""),133.78)</f>
        <v>133.78</v>
      </c>
    </row>
    <row r="642">
      <c r="A642" s="20">
        <f>IFERROR(__xludf.DUMMYFUNCTION("""COMPUTED_VALUE"""),45202.0)</f>
        <v>45202</v>
      </c>
      <c r="B642" s="21">
        <f>IFERROR(__xludf.DUMMYFUNCTION("""COMPUTED_VALUE"""),175.79)</f>
        <v>175.79</v>
      </c>
      <c r="C642" s="22">
        <f>IFERROR(__xludf.DUMMYFUNCTION("""COMPUTED_VALUE"""),153.02)</f>
        <v>153.02</v>
      </c>
      <c r="D642" s="22">
        <f>IFERROR(__xludf.DUMMYFUNCTION("""COMPUTED_VALUE"""),192.24)</f>
        <v>192.24</v>
      </c>
      <c r="E642" s="21">
        <f>IFERROR(__xludf.DUMMYFUNCTION("""COMPUTED_VALUE"""),121.10766402)</f>
        <v>121.107664</v>
      </c>
      <c r="F642" s="21">
        <f>IFERROR(__xludf.DUMMYFUNCTION("""COMPUTED_VALUE"""),134.19)</f>
        <v>134.19</v>
      </c>
      <c r="G642" s="21">
        <f>IFERROR(__xludf.DUMMYFUNCTION("""COMPUTED_VALUE"""),133.78)</f>
        <v>133.78</v>
      </c>
    </row>
    <row r="643">
      <c r="A643" s="20">
        <f>IFERROR(__xludf.DUMMYFUNCTION("""COMPUTED_VALUE"""),45203.0)</f>
        <v>45203</v>
      </c>
      <c r="B643" s="21">
        <f>IFERROR(__xludf.DUMMYFUNCTION("""COMPUTED_VALUE"""),175.79)</f>
        <v>175.79</v>
      </c>
      <c r="C643" s="22">
        <f>IFERROR(__xludf.DUMMYFUNCTION("""COMPUTED_VALUE"""),153.02)</f>
        <v>153.02</v>
      </c>
      <c r="D643" s="22">
        <f>IFERROR(__xludf.DUMMYFUNCTION("""COMPUTED_VALUE"""),192.24)</f>
        <v>192.24</v>
      </c>
      <c r="E643" s="21">
        <f>IFERROR(__xludf.DUMMYFUNCTION("""COMPUTED_VALUE"""),119.64927811999999)</f>
        <v>119.6492781</v>
      </c>
      <c r="F643" s="21">
        <f>IFERROR(__xludf.DUMMYFUNCTION("""COMPUTED_VALUE"""),132.8015)</f>
        <v>132.8015</v>
      </c>
      <c r="G643" s="21">
        <f>IFERROR(__xludf.DUMMYFUNCTION("""COMPUTED_VALUE"""),133.78)</f>
        <v>133.78</v>
      </c>
    </row>
    <row r="644">
      <c r="A644" s="20">
        <f>IFERROR(__xludf.DUMMYFUNCTION("""COMPUTED_VALUE"""),45204.0)</f>
        <v>45204</v>
      </c>
      <c r="B644" s="21">
        <f>IFERROR(__xludf.DUMMYFUNCTION("""COMPUTED_VALUE"""),175.79)</f>
        <v>175.79</v>
      </c>
      <c r="C644" s="22">
        <f>IFERROR(__xludf.DUMMYFUNCTION("""COMPUTED_VALUE"""),153.02)</f>
        <v>153.02</v>
      </c>
      <c r="D644" s="22">
        <f>IFERROR(__xludf.DUMMYFUNCTION("""COMPUTED_VALUE"""),192.24)</f>
        <v>192.24</v>
      </c>
      <c r="E644" s="21">
        <f>IFERROR(__xludf.DUMMYFUNCTION("""COMPUTED_VALUE"""),119.87240482000001)</f>
        <v>119.8724048</v>
      </c>
      <c r="F644" s="21">
        <f>IFERROR(__xludf.DUMMYFUNCTION("""COMPUTED_VALUE"""),131.41299999999998)</f>
        <v>131.413</v>
      </c>
      <c r="G644" s="21">
        <f>IFERROR(__xludf.DUMMYFUNCTION("""COMPUTED_VALUE"""),133.78)</f>
        <v>133.78</v>
      </c>
    </row>
    <row r="645">
      <c r="A645" s="20">
        <f>IFERROR(__xludf.DUMMYFUNCTION("""COMPUTED_VALUE"""),45205.0)</f>
        <v>45205</v>
      </c>
      <c r="B645" s="21">
        <f>IFERROR(__xludf.DUMMYFUNCTION("""COMPUTED_VALUE"""),175.79)</f>
        <v>175.79</v>
      </c>
      <c r="C645" s="22">
        <f>IFERROR(__xludf.DUMMYFUNCTION("""COMPUTED_VALUE"""),153.02)</f>
        <v>153.02</v>
      </c>
      <c r="D645" s="22">
        <f>IFERROR(__xludf.DUMMYFUNCTION("""COMPUTED_VALUE"""),192.24)</f>
        <v>192.24</v>
      </c>
      <c r="E645" s="21">
        <f>IFERROR(__xludf.DUMMYFUNCTION("""COMPUTED_VALUE"""),119.83830634857144)</f>
        <v>119.8383063</v>
      </c>
      <c r="F645" s="21">
        <f>IFERROR(__xludf.DUMMYFUNCTION("""COMPUTED_VALUE"""),130.0245)</f>
        <v>130.0245</v>
      </c>
      <c r="G645" s="21">
        <f>IFERROR(__xludf.DUMMYFUNCTION("""COMPUTED_VALUE"""),133.78)</f>
        <v>133.78</v>
      </c>
    </row>
    <row r="646">
      <c r="A646" s="20">
        <f>IFERROR(__xludf.DUMMYFUNCTION("""COMPUTED_VALUE"""),45206.0)</f>
        <v>45206</v>
      </c>
      <c r="B646" s="21">
        <f>IFERROR(__xludf.DUMMYFUNCTION("""COMPUTED_VALUE"""),175.79)</f>
        <v>175.79</v>
      </c>
      <c r="C646" s="22">
        <f>IFERROR(__xludf.DUMMYFUNCTION("""COMPUTED_VALUE"""),153.02)</f>
        <v>153.02</v>
      </c>
      <c r="D646" s="22">
        <f>IFERROR(__xludf.DUMMYFUNCTION("""COMPUTED_VALUE"""),192.24)</f>
        <v>192.24</v>
      </c>
      <c r="E646" s="21">
        <f>IFERROR(__xludf.DUMMYFUNCTION("""COMPUTED_VALUE"""),121.62358120571427)</f>
        <v>121.6235812</v>
      </c>
      <c r="F646" s="21">
        <f>IFERROR(__xludf.DUMMYFUNCTION("""COMPUTED_VALUE"""),128.636)</f>
        <v>128.636</v>
      </c>
      <c r="G646" s="21">
        <f>IFERROR(__xludf.DUMMYFUNCTION("""COMPUTED_VALUE"""),133.78)</f>
        <v>133.78</v>
      </c>
    </row>
    <row r="647">
      <c r="A647" s="20">
        <f>IFERROR(__xludf.DUMMYFUNCTION("""COMPUTED_VALUE"""),45207.0)</f>
        <v>45207</v>
      </c>
      <c r="B647" s="21">
        <f>IFERROR(__xludf.DUMMYFUNCTION("""COMPUTED_VALUE"""),175.79)</f>
        <v>175.79</v>
      </c>
      <c r="C647" s="22">
        <f>IFERROR(__xludf.DUMMYFUNCTION("""COMPUTED_VALUE"""),153.02)</f>
        <v>153.02</v>
      </c>
      <c r="D647" s="22">
        <f>IFERROR(__xludf.DUMMYFUNCTION("""COMPUTED_VALUE"""),192.24)</f>
        <v>192.24</v>
      </c>
      <c r="E647" s="21">
        <f>IFERROR(__xludf.DUMMYFUNCTION("""COMPUTED_VALUE"""),122.61186287142857)</f>
        <v>122.6118629</v>
      </c>
      <c r="F647" s="21">
        <f>IFERROR(__xludf.DUMMYFUNCTION("""COMPUTED_VALUE"""),127.24749999999997)</f>
        <v>127.2475</v>
      </c>
      <c r="G647" s="21">
        <f>IFERROR(__xludf.DUMMYFUNCTION("""COMPUTED_VALUE"""),133.78)</f>
        <v>133.78</v>
      </c>
    </row>
    <row r="648">
      <c r="A648" s="20">
        <f>IFERROR(__xludf.DUMMYFUNCTION("""COMPUTED_VALUE"""),45208.0)</f>
        <v>45208</v>
      </c>
      <c r="B648" s="21">
        <f>IFERROR(__xludf.DUMMYFUNCTION("""COMPUTED_VALUE"""),170.2)</f>
        <v>170.2</v>
      </c>
      <c r="C648" s="22">
        <f>IFERROR(__xludf.DUMMYFUNCTION("""COMPUTED_VALUE"""),151.04)</f>
        <v>151.04</v>
      </c>
      <c r="D648" s="22">
        <f>IFERROR(__xludf.DUMMYFUNCTION("""COMPUTED_VALUE"""),190.77)</f>
        <v>190.77</v>
      </c>
      <c r="E648" s="21">
        <f>IFERROR(__xludf.DUMMYFUNCTION("""COMPUTED_VALUE"""),124.07946581428573)</f>
        <v>124.0794658</v>
      </c>
      <c r="F648" s="21">
        <f>IFERROR(__xludf.DUMMYFUNCTION("""COMPUTED_VALUE"""),127.19285714285714)</f>
        <v>127.1928571</v>
      </c>
      <c r="G648" s="21">
        <f>IFERROR(__xludf.DUMMYFUNCTION("""COMPUTED_VALUE"""),133.78)</f>
        <v>133.78</v>
      </c>
    </row>
    <row r="649">
      <c r="A649" s="20">
        <f>IFERROR(__xludf.DUMMYFUNCTION("""COMPUTED_VALUE"""),45209.0)</f>
        <v>45209</v>
      </c>
      <c r="B649" s="21">
        <f>IFERROR(__xludf.DUMMYFUNCTION("""COMPUTED_VALUE"""),170.2)</f>
        <v>170.2</v>
      </c>
      <c r="C649" s="22">
        <f>IFERROR(__xludf.DUMMYFUNCTION("""COMPUTED_VALUE"""),151.04)</f>
        <v>151.04</v>
      </c>
      <c r="D649" s="22">
        <f>IFERROR(__xludf.DUMMYFUNCTION("""COMPUTED_VALUE"""),190.77)</f>
        <v>190.77</v>
      </c>
      <c r="E649" s="21">
        <f>IFERROR(__xludf.DUMMYFUNCTION("""COMPUTED_VALUE"""),124.68780751428572)</f>
        <v>124.6878075</v>
      </c>
      <c r="F649" s="21">
        <f>IFERROR(__xludf.DUMMYFUNCTION("""COMPUTED_VALUE"""),127.13821428571428)</f>
        <v>127.1382143</v>
      </c>
      <c r="G649" s="21">
        <f>IFERROR(__xludf.DUMMYFUNCTION("""COMPUTED_VALUE"""),133.78)</f>
        <v>133.78</v>
      </c>
    </row>
    <row r="650">
      <c r="A650" s="24">
        <f>IFERROR(__xludf.DUMMYFUNCTION("""COMPUTED_VALUE"""),45210.0)</f>
        <v>45210</v>
      </c>
      <c r="B650" s="21">
        <f>IFERROR(__xludf.DUMMYFUNCTION("""COMPUTED_VALUE"""),170.2)</f>
        <v>170.2</v>
      </c>
      <c r="C650" s="22">
        <f>IFERROR(__xludf.DUMMYFUNCTION("""COMPUTED_VALUE"""),151.04)</f>
        <v>151.04</v>
      </c>
      <c r="D650" s="22">
        <f>IFERROR(__xludf.DUMMYFUNCTION("""COMPUTED_VALUE"""),190.77)</f>
        <v>190.77</v>
      </c>
      <c r="E650" s="21">
        <f>IFERROR(__xludf.DUMMYFUNCTION("""COMPUTED_VALUE"""),129.3392456)</f>
        <v>129.3392456</v>
      </c>
      <c r="F650" s="21">
        <f>IFERROR(__xludf.DUMMYFUNCTION("""COMPUTED_VALUE"""),127.08357142857143)</f>
        <v>127.0835714</v>
      </c>
      <c r="G650" s="21">
        <f>IFERROR(__xludf.DUMMYFUNCTION("""COMPUTED_VALUE"""),133.78)</f>
        <v>133.78</v>
      </c>
    </row>
    <row r="651">
      <c r="A651" s="24">
        <f>IFERROR(__xludf.DUMMYFUNCTION("""COMPUTED_VALUE"""),45211.0)</f>
        <v>45211</v>
      </c>
      <c r="B651" s="21">
        <f>IFERROR(__xludf.DUMMYFUNCTION("""COMPUTED_VALUE"""),170.2)</f>
        <v>170.2</v>
      </c>
      <c r="C651" s="22">
        <f>IFERROR(__xludf.DUMMYFUNCTION("""COMPUTED_VALUE"""),151.04)</f>
        <v>151.04</v>
      </c>
      <c r="D651" s="22">
        <f>IFERROR(__xludf.DUMMYFUNCTION("""COMPUTED_VALUE"""),190.77)</f>
        <v>190.77</v>
      </c>
      <c r="E651" s="21">
        <f>IFERROR(__xludf.DUMMYFUNCTION("""COMPUTED_VALUE"""),133.93770452857143)</f>
        <v>133.9377045</v>
      </c>
      <c r="F651" s="21">
        <f>IFERROR(__xludf.DUMMYFUNCTION("""COMPUTED_VALUE"""),127.02892857142857)</f>
        <v>127.0289286</v>
      </c>
      <c r="G651" s="21">
        <f>IFERROR(__xludf.DUMMYFUNCTION("""COMPUTED_VALUE"""),133.78)</f>
        <v>133.78</v>
      </c>
    </row>
    <row r="652">
      <c r="A652" s="24">
        <f>IFERROR(__xludf.DUMMYFUNCTION("""COMPUTED_VALUE"""),45212.0)</f>
        <v>45212</v>
      </c>
      <c r="B652" s="21">
        <f>IFERROR(__xludf.DUMMYFUNCTION("""COMPUTED_VALUE"""),170.2)</f>
        <v>170.2</v>
      </c>
      <c r="C652" s="22">
        <f>IFERROR(__xludf.DUMMYFUNCTION("""COMPUTED_VALUE"""),151.04)</f>
        <v>151.04</v>
      </c>
      <c r="D652" s="22">
        <f>IFERROR(__xludf.DUMMYFUNCTION("""COMPUTED_VALUE"""),190.77)</f>
        <v>190.77</v>
      </c>
      <c r="E652" s="21">
        <f>IFERROR(__xludf.DUMMYFUNCTION("""COMPUTED_VALUE"""),137.8074558)</f>
        <v>137.8074558</v>
      </c>
      <c r="F652" s="21">
        <f>IFERROR(__xludf.DUMMYFUNCTION("""COMPUTED_VALUE"""),126.97428571428573)</f>
        <v>126.9742857</v>
      </c>
      <c r="G652" s="21">
        <f>IFERROR(__xludf.DUMMYFUNCTION("""COMPUTED_VALUE"""),133.78)</f>
        <v>133.78</v>
      </c>
    </row>
    <row r="653">
      <c r="A653" s="23">
        <f>IFERROR(__xludf.DUMMYFUNCTION("""COMPUTED_VALUE"""),45213.0)</f>
        <v>45213</v>
      </c>
      <c r="B653" s="21">
        <f>IFERROR(__xludf.DUMMYFUNCTION("""COMPUTED_VALUE"""),170.2)</f>
        <v>170.2</v>
      </c>
      <c r="C653" s="22">
        <f>IFERROR(__xludf.DUMMYFUNCTION("""COMPUTED_VALUE"""),151.04)</f>
        <v>151.04</v>
      </c>
      <c r="D653" s="22">
        <f>IFERROR(__xludf.DUMMYFUNCTION("""COMPUTED_VALUE"""),190.77)</f>
        <v>190.77</v>
      </c>
      <c r="E653" s="21">
        <f>IFERROR(__xludf.DUMMYFUNCTION("""COMPUTED_VALUE"""),141.88935495714284)</f>
        <v>141.889355</v>
      </c>
      <c r="F653" s="21">
        <f>IFERROR(__xludf.DUMMYFUNCTION("""COMPUTED_VALUE"""),126.91964285714286)</f>
        <v>126.9196429</v>
      </c>
      <c r="G653" s="21">
        <f>IFERROR(__xludf.DUMMYFUNCTION("""COMPUTED_VALUE"""),133.78)</f>
        <v>133.78</v>
      </c>
    </row>
    <row r="654">
      <c r="A654" s="23">
        <f>IFERROR(__xludf.DUMMYFUNCTION("""COMPUTED_VALUE"""),45214.0)</f>
        <v>45214</v>
      </c>
      <c r="B654" s="21">
        <f>IFERROR(__xludf.DUMMYFUNCTION("""COMPUTED_VALUE"""),170.2)</f>
        <v>170.2</v>
      </c>
      <c r="C654" s="22">
        <f>IFERROR(__xludf.DUMMYFUNCTION("""COMPUTED_VALUE"""),151.04)</f>
        <v>151.04</v>
      </c>
      <c r="D654" s="22">
        <f>IFERROR(__xludf.DUMMYFUNCTION("""COMPUTED_VALUE"""),190.77)</f>
        <v>190.77</v>
      </c>
      <c r="E654" s="21">
        <f>IFERROR(__xludf.DUMMYFUNCTION("""COMPUTED_VALUE"""),147.16974457142857)</f>
        <v>147.1697446</v>
      </c>
      <c r="F654" s="21">
        <f>IFERROR(__xludf.DUMMYFUNCTION("""COMPUTED_VALUE"""),126.865)</f>
        <v>126.865</v>
      </c>
      <c r="G654" s="21">
        <f>IFERROR(__xludf.DUMMYFUNCTION("""COMPUTED_VALUE"""),133.78)</f>
        <v>133.78</v>
      </c>
    </row>
    <row r="655">
      <c r="A655" s="23">
        <f>IFERROR(__xludf.DUMMYFUNCTION("""COMPUTED_VALUE"""),45215.0)</f>
        <v>45215</v>
      </c>
      <c r="B655" s="21">
        <f>IFERROR(__xludf.DUMMYFUNCTION("""COMPUTED_VALUE"""),170.2)</f>
        <v>170.2</v>
      </c>
      <c r="C655" s="22">
        <f>IFERROR(__xludf.DUMMYFUNCTION("""COMPUTED_VALUE"""),151.04)</f>
        <v>151.04</v>
      </c>
      <c r="D655" s="22">
        <f>IFERROR(__xludf.DUMMYFUNCTION("""COMPUTED_VALUE"""),190.77)</f>
        <v>190.77</v>
      </c>
      <c r="E655" s="21">
        <f>IFERROR(__xludf.DUMMYFUNCTION("""COMPUTED_VALUE"""),153.7635331857143)</f>
        <v>153.7635332</v>
      </c>
      <c r="F655" s="21">
        <f>IFERROR(__xludf.DUMMYFUNCTION("""COMPUTED_VALUE"""),129.55464285714285)</f>
        <v>129.5546429</v>
      </c>
      <c r="G655" s="21">
        <f>IFERROR(__xludf.DUMMYFUNCTION("""COMPUTED_VALUE"""),133.78)</f>
        <v>133.78</v>
      </c>
    </row>
    <row r="656">
      <c r="A656" s="23">
        <f>IFERROR(__xludf.DUMMYFUNCTION("""COMPUTED_VALUE"""),45216.0)</f>
        <v>45216</v>
      </c>
      <c r="B656" s="21">
        <f>IFERROR(__xludf.DUMMYFUNCTION("""COMPUTED_VALUE"""),170.2)</f>
        <v>170.2</v>
      </c>
      <c r="C656" s="22">
        <f>IFERROR(__xludf.DUMMYFUNCTION("""COMPUTED_VALUE"""),151.04)</f>
        <v>151.04</v>
      </c>
      <c r="D656" s="22">
        <f>IFERROR(__xludf.DUMMYFUNCTION("""COMPUTED_VALUE"""),190.77)</f>
        <v>190.77</v>
      </c>
      <c r="E656" s="21">
        <f>IFERROR(__xludf.DUMMYFUNCTION("""COMPUTED_VALUE"""),156.56051105714286)</f>
        <v>156.5605111</v>
      </c>
      <c r="F656" s="21">
        <f>IFERROR(__xludf.DUMMYFUNCTION("""COMPUTED_VALUE"""),132.2442857142857)</f>
        <v>132.2442857</v>
      </c>
      <c r="G656" s="21">
        <f>IFERROR(__xludf.DUMMYFUNCTION("""COMPUTED_VALUE"""),133.78)</f>
        <v>133.78</v>
      </c>
    </row>
    <row r="657">
      <c r="A657" s="23">
        <f>IFERROR(__xludf.DUMMYFUNCTION("""COMPUTED_VALUE"""),45217.0)</f>
        <v>45217</v>
      </c>
      <c r="B657" s="21">
        <f>IFERROR(__xludf.DUMMYFUNCTION("""COMPUTED_VALUE"""),170.2)</f>
        <v>170.2</v>
      </c>
      <c r="C657" s="22">
        <f>IFERROR(__xludf.DUMMYFUNCTION("""COMPUTED_VALUE"""),151.04)</f>
        <v>151.04</v>
      </c>
      <c r="D657" s="22">
        <f>IFERROR(__xludf.DUMMYFUNCTION("""COMPUTED_VALUE"""),190.77)</f>
        <v>190.77</v>
      </c>
      <c r="E657" s="21">
        <f>IFERROR(__xludf.DUMMYFUNCTION("""COMPUTED_VALUE"""),156.76118035714288)</f>
        <v>156.7611804</v>
      </c>
      <c r="F657" s="21">
        <f>IFERROR(__xludf.DUMMYFUNCTION("""COMPUTED_VALUE"""),134.93392857142857)</f>
        <v>134.9339286</v>
      </c>
      <c r="G657" s="21">
        <f>IFERROR(__xludf.DUMMYFUNCTION("""COMPUTED_VALUE"""),133.78)</f>
        <v>133.78</v>
      </c>
    </row>
    <row r="658">
      <c r="A658" s="23">
        <f>IFERROR(__xludf.DUMMYFUNCTION("""COMPUTED_VALUE"""),45218.0)</f>
        <v>45218</v>
      </c>
      <c r="B658" s="21">
        <f>IFERROR(__xludf.DUMMYFUNCTION("""COMPUTED_VALUE"""),170.2)</f>
        <v>170.2</v>
      </c>
      <c r="C658" s="22">
        <f>IFERROR(__xludf.DUMMYFUNCTION("""COMPUTED_VALUE"""),151.04)</f>
        <v>151.04</v>
      </c>
      <c r="D658" s="22">
        <f>IFERROR(__xludf.DUMMYFUNCTION("""COMPUTED_VALUE"""),190.77)</f>
        <v>190.77</v>
      </c>
      <c r="E658" s="21">
        <f>IFERROR(__xludf.DUMMYFUNCTION("""COMPUTED_VALUE"""),157.56732117142857)</f>
        <v>157.5673212</v>
      </c>
      <c r="F658" s="21">
        <f>IFERROR(__xludf.DUMMYFUNCTION("""COMPUTED_VALUE"""),137.6235714285714)</f>
        <v>137.6235714</v>
      </c>
      <c r="G658" s="21">
        <f>IFERROR(__xludf.DUMMYFUNCTION("""COMPUTED_VALUE"""),133.78)</f>
        <v>133.78</v>
      </c>
    </row>
    <row r="659">
      <c r="A659" s="23">
        <f>IFERROR(__xludf.DUMMYFUNCTION("""COMPUTED_VALUE"""),45219.0)</f>
        <v>45219</v>
      </c>
      <c r="B659" s="21">
        <f>IFERROR(__xludf.DUMMYFUNCTION("""COMPUTED_VALUE"""),170.2)</f>
        <v>170.2</v>
      </c>
      <c r="C659" s="22">
        <f>IFERROR(__xludf.DUMMYFUNCTION("""COMPUTED_VALUE"""),151.04)</f>
        <v>151.04</v>
      </c>
      <c r="D659" s="22">
        <f>IFERROR(__xludf.DUMMYFUNCTION("""COMPUTED_VALUE"""),190.77)</f>
        <v>190.77</v>
      </c>
      <c r="E659" s="21">
        <f>IFERROR(__xludf.DUMMYFUNCTION("""COMPUTED_VALUE"""),154.7489695)</f>
        <v>154.7489695</v>
      </c>
      <c r="F659" s="21">
        <f>IFERROR(__xludf.DUMMYFUNCTION("""COMPUTED_VALUE"""),140.31321428571428)</f>
        <v>140.3132143</v>
      </c>
      <c r="G659" s="21">
        <f>IFERROR(__xludf.DUMMYFUNCTION("""COMPUTED_VALUE"""),133.78)</f>
        <v>133.78</v>
      </c>
    </row>
    <row r="660">
      <c r="A660" s="23">
        <f>IFERROR(__xludf.DUMMYFUNCTION("""COMPUTED_VALUE"""),45220.0)</f>
        <v>45220</v>
      </c>
      <c r="B660" s="21">
        <f>IFERROR(__xludf.DUMMYFUNCTION("""COMPUTED_VALUE"""),170.2)</f>
        <v>170.2</v>
      </c>
      <c r="C660" s="22">
        <f>IFERROR(__xludf.DUMMYFUNCTION("""COMPUTED_VALUE"""),151.04)</f>
        <v>151.04</v>
      </c>
      <c r="D660" s="22">
        <f>IFERROR(__xludf.DUMMYFUNCTION("""COMPUTED_VALUE"""),190.77)</f>
        <v>190.77</v>
      </c>
      <c r="E660" s="21">
        <f>IFERROR(__xludf.DUMMYFUNCTION("""COMPUTED_VALUE"""),152.42937858571432)</f>
        <v>152.4293786</v>
      </c>
      <c r="F660" s="21">
        <f>IFERROR(__xludf.DUMMYFUNCTION("""COMPUTED_VALUE"""),143.00285714285715)</f>
        <v>143.0028571</v>
      </c>
      <c r="G660" s="21">
        <f>IFERROR(__xludf.DUMMYFUNCTION("""COMPUTED_VALUE"""),133.78)</f>
        <v>133.78</v>
      </c>
    </row>
    <row r="661">
      <c r="A661" s="23">
        <f>IFERROR(__xludf.DUMMYFUNCTION("""COMPUTED_VALUE"""),45221.0)</f>
        <v>45221</v>
      </c>
      <c r="B661" s="21">
        <f>IFERROR(__xludf.DUMMYFUNCTION("""COMPUTED_VALUE"""),170.2)</f>
        <v>170.2</v>
      </c>
      <c r="C661" s="22">
        <f>IFERROR(__xludf.DUMMYFUNCTION("""COMPUTED_VALUE"""),151.04)</f>
        <v>151.04</v>
      </c>
      <c r="D661" s="22">
        <f>IFERROR(__xludf.DUMMYFUNCTION("""COMPUTED_VALUE"""),190.77)</f>
        <v>190.77</v>
      </c>
      <c r="E661" s="21">
        <f>IFERROR(__xludf.DUMMYFUNCTION("""COMPUTED_VALUE"""),151.2182635)</f>
        <v>151.2182635</v>
      </c>
      <c r="F661" s="21">
        <f>IFERROR(__xludf.DUMMYFUNCTION("""COMPUTED_VALUE"""),145.6925)</f>
        <v>145.6925</v>
      </c>
      <c r="G661" s="21">
        <f>IFERROR(__xludf.DUMMYFUNCTION("""COMPUTED_VALUE"""),133.78)</f>
        <v>133.78</v>
      </c>
    </row>
    <row r="662">
      <c r="A662" s="23">
        <f>IFERROR(__xludf.DUMMYFUNCTION("""COMPUTED_VALUE"""),45222.0)</f>
        <v>45222</v>
      </c>
      <c r="B662" s="21">
        <f>IFERROR(__xludf.DUMMYFUNCTION("""COMPUTED_VALUE"""),170.5)</f>
        <v>170.5</v>
      </c>
      <c r="C662" s="22">
        <f>IFERROR(__xludf.DUMMYFUNCTION("""COMPUTED_VALUE"""),148.77)</f>
        <v>148.77</v>
      </c>
      <c r="D662" s="22">
        <f>IFERROR(__xludf.DUMMYFUNCTION("""COMPUTED_VALUE"""),190.77)</f>
        <v>190.77</v>
      </c>
      <c r="E662" s="21">
        <f>IFERROR(__xludf.DUMMYFUNCTION("""COMPUTED_VALUE"""),146.81341712857144)</f>
        <v>146.8134171</v>
      </c>
      <c r="F662" s="21">
        <f>IFERROR(__xludf.DUMMYFUNCTION("""COMPUTED_VALUE"""),146.43071428571426)</f>
        <v>146.4307143</v>
      </c>
      <c r="G662" s="21">
        <f>IFERROR(__xludf.DUMMYFUNCTION("""COMPUTED_VALUE"""),133.78)</f>
        <v>133.78</v>
      </c>
    </row>
    <row r="663">
      <c r="A663" s="23">
        <f>IFERROR(__xludf.DUMMYFUNCTION("""COMPUTED_VALUE"""),45223.0)</f>
        <v>45223</v>
      </c>
      <c r="B663" s="21">
        <f>IFERROR(__xludf.DUMMYFUNCTION("""COMPUTED_VALUE"""),170.5)</f>
        <v>170.5</v>
      </c>
      <c r="C663" s="22">
        <f>IFERROR(__xludf.DUMMYFUNCTION("""COMPUTED_VALUE"""),148.77)</f>
        <v>148.77</v>
      </c>
      <c r="D663" s="22">
        <f>IFERROR(__xludf.DUMMYFUNCTION("""COMPUTED_VALUE"""),190.77)</f>
        <v>190.77</v>
      </c>
      <c r="E663" s="21">
        <f>IFERROR(__xludf.DUMMYFUNCTION("""COMPUTED_VALUE"""),144.2169393714286)</f>
        <v>144.2169394</v>
      </c>
      <c r="F663" s="21">
        <f>IFERROR(__xludf.DUMMYFUNCTION("""COMPUTED_VALUE"""),147.16892857142855)</f>
        <v>147.1689286</v>
      </c>
      <c r="G663" s="21">
        <f>IFERROR(__xludf.DUMMYFUNCTION("""COMPUTED_VALUE"""),133.78)</f>
        <v>133.78</v>
      </c>
    </row>
    <row r="664">
      <c r="A664" s="23">
        <f>IFERROR(__xludf.DUMMYFUNCTION("""COMPUTED_VALUE"""),45224.0)</f>
        <v>45224</v>
      </c>
      <c r="B664" s="21">
        <f>IFERROR(__xludf.DUMMYFUNCTION("""COMPUTED_VALUE"""),170.5)</f>
        <v>170.5</v>
      </c>
      <c r="C664" s="22">
        <f>IFERROR(__xludf.DUMMYFUNCTION("""COMPUTED_VALUE"""),148.77)</f>
        <v>148.77</v>
      </c>
      <c r="D664" s="22">
        <f>IFERROR(__xludf.DUMMYFUNCTION("""COMPUTED_VALUE"""),190.77)</f>
        <v>190.77</v>
      </c>
      <c r="E664" s="21">
        <f>IFERROR(__xludf.DUMMYFUNCTION("""COMPUTED_VALUE"""),141.95858282857142)</f>
        <v>141.9585828</v>
      </c>
      <c r="F664" s="21">
        <f>IFERROR(__xludf.DUMMYFUNCTION("""COMPUTED_VALUE"""),147.90714285714284)</f>
        <v>147.9071429</v>
      </c>
      <c r="G664" s="21">
        <f>IFERROR(__xludf.DUMMYFUNCTION("""COMPUTED_VALUE"""),133.78)</f>
        <v>133.78</v>
      </c>
    </row>
    <row r="665">
      <c r="A665" s="23">
        <f>IFERROR(__xludf.DUMMYFUNCTION("""COMPUTED_VALUE"""),45225.0)</f>
        <v>45225</v>
      </c>
      <c r="B665" s="21">
        <f>IFERROR(__xludf.DUMMYFUNCTION("""COMPUTED_VALUE"""),170.5)</f>
        <v>170.5</v>
      </c>
      <c r="C665" s="22">
        <f>IFERROR(__xludf.DUMMYFUNCTION("""COMPUTED_VALUE"""),148.77)</f>
        <v>148.77</v>
      </c>
      <c r="D665" s="22">
        <f>IFERROR(__xludf.DUMMYFUNCTION("""COMPUTED_VALUE"""),190.77)</f>
        <v>190.77</v>
      </c>
      <c r="E665" s="21">
        <f>IFERROR(__xludf.DUMMYFUNCTION("""COMPUTED_VALUE"""),140.9868870285714)</f>
        <v>140.986887</v>
      </c>
      <c r="F665" s="21">
        <f>IFERROR(__xludf.DUMMYFUNCTION("""COMPUTED_VALUE"""),148.64535714285714)</f>
        <v>148.6453571</v>
      </c>
      <c r="G665" s="21">
        <f>IFERROR(__xludf.DUMMYFUNCTION("""COMPUTED_VALUE"""),133.78)</f>
        <v>133.78</v>
      </c>
    </row>
    <row r="666">
      <c r="A666" s="23">
        <f>IFERROR(__xludf.DUMMYFUNCTION("""COMPUTED_VALUE"""),45226.0)</f>
        <v>45226</v>
      </c>
      <c r="B666" s="21">
        <f>IFERROR(__xludf.DUMMYFUNCTION("""COMPUTED_VALUE"""),170.5)</f>
        <v>170.5</v>
      </c>
      <c r="C666" s="22">
        <f>IFERROR(__xludf.DUMMYFUNCTION("""COMPUTED_VALUE"""),148.77)</f>
        <v>148.77</v>
      </c>
      <c r="D666" s="22">
        <f>IFERROR(__xludf.DUMMYFUNCTION("""COMPUTED_VALUE"""),190.77)</f>
        <v>190.77</v>
      </c>
      <c r="E666" s="21">
        <f>IFERROR(__xludf.DUMMYFUNCTION("""COMPUTED_VALUE"""),139.17979937142857)</f>
        <v>139.1797994</v>
      </c>
      <c r="F666" s="21">
        <f>IFERROR(__xludf.DUMMYFUNCTION("""COMPUTED_VALUE"""),149.38357142857143)</f>
        <v>149.3835714</v>
      </c>
      <c r="G666" s="21">
        <f>IFERROR(__xludf.DUMMYFUNCTION("""COMPUTED_VALUE"""),133.78)</f>
        <v>133.78</v>
      </c>
    </row>
    <row r="667">
      <c r="A667" s="23">
        <f>IFERROR(__xludf.DUMMYFUNCTION("""COMPUTED_VALUE"""),45227.0)</f>
        <v>45227</v>
      </c>
      <c r="B667" s="21">
        <f>IFERROR(__xludf.DUMMYFUNCTION("""COMPUTED_VALUE"""),170.5)</f>
        <v>170.5</v>
      </c>
      <c r="C667" s="22">
        <f>IFERROR(__xludf.DUMMYFUNCTION("""COMPUTED_VALUE"""),148.77)</f>
        <v>148.77</v>
      </c>
      <c r="D667" s="22">
        <f>IFERROR(__xludf.DUMMYFUNCTION("""COMPUTED_VALUE"""),190.77)</f>
        <v>190.77</v>
      </c>
      <c r="E667" s="21">
        <f>IFERROR(__xludf.DUMMYFUNCTION("""COMPUTED_VALUE"""),134.9603350285714)</f>
        <v>134.960335</v>
      </c>
      <c r="F667" s="21">
        <f>IFERROR(__xludf.DUMMYFUNCTION("""COMPUTED_VALUE"""),150.12178571428572)</f>
        <v>150.1217857</v>
      </c>
      <c r="G667" s="21">
        <f>IFERROR(__xludf.DUMMYFUNCTION("""COMPUTED_VALUE"""),133.78)</f>
        <v>133.78</v>
      </c>
    </row>
    <row r="668">
      <c r="A668" s="23">
        <f>IFERROR(__xludf.DUMMYFUNCTION("""COMPUTED_VALUE"""),45228.0)</f>
        <v>45228</v>
      </c>
      <c r="B668" s="21">
        <f>IFERROR(__xludf.DUMMYFUNCTION("""COMPUTED_VALUE"""),170.5)</f>
        <v>170.5</v>
      </c>
      <c r="C668" s="22">
        <f>IFERROR(__xludf.DUMMYFUNCTION("""COMPUTED_VALUE"""),148.77)</f>
        <v>148.77</v>
      </c>
      <c r="D668" s="22">
        <f>IFERROR(__xludf.DUMMYFUNCTION("""COMPUTED_VALUE"""),190.77)</f>
        <v>190.77</v>
      </c>
      <c r="E668" s="21">
        <f>IFERROR(__xludf.DUMMYFUNCTION("""COMPUTED_VALUE"""),133.85063061428568)</f>
        <v>133.8506306</v>
      </c>
      <c r="F668" s="21">
        <f>IFERROR(__xludf.DUMMYFUNCTION("""COMPUTED_VALUE"""),150.85999999999999)</f>
        <v>150.86</v>
      </c>
      <c r="G668" s="21">
        <f>IFERROR(__xludf.DUMMYFUNCTION("""COMPUTED_VALUE"""),133.78)</f>
        <v>133.78</v>
      </c>
    </row>
    <row r="669">
      <c r="A669" s="23">
        <f>IFERROR(__xludf.DUMMYFUNCTION("""COMPUTED_VALUE"""),45229.0)</f>
        <v>45229</v>
      </c>
      <c r="B669" s="21">
        <f>IFERROR(__xludf.DUMMYFUNCTION("""COMPUTED_VALUE"""),170.5)</f>
        <v>170.5</v>
      </c>
      <c r="C669" s="22">
        <f>IFERROR(__xludf.DUMMYFUNCTION("""COMPUTED_VALUE"""),148.77)</f>
        <v>148.77</v>
      </c>
      <c r="D669" s="22">
        <f>IFERROR(__xludf.DUMMYFUNCTION("""COMPUTED_VALUE"""),190.77)</f>
        <v>190.77</v>
      </c>
      <c r="E669" s="21">
        <f>IFERROR(__xludf.DUMMYFUNCTION("""COMPUTED_VALUE"""),131.1113581142857)</f>
        <v>131.1113581</v>
      </c>
      <c r="F669" s="21">
        <f>IFERROR(__xludf.DUMMYFUNCTION("""COMPUTED_VALUE"""),150.85999999999999)</f>
        <v>150.86</v>
      </c>
      <c r="G669" s="21">
        <f>IFERROR(__xludf.DUMMYFUNCTION("""COMPUTED_VALUE"""),133.78)</f>
        <v>133.78</v>
      </c>
    </row>
    <row r="670">
      <c r="A670" s="23">
        <f>IFERROR(__xludf.DUMMYFUNCTION("""COMPUTED_VALUE"""),45230.0)</f>
        <v>45230</v>
      </c>
      <c r="B670" s="21">
        <f>IFERROR(__xludf.DUMMYFUNCTION("""COMPUTED_VALUE"""),170.5)</f>
        <v>170.5</v>
      </c>
      <c r="C670" s="22">
        <f>IFERROR(__xludf.DUMMYFUNCTION("""COMPUTED_VALUE"""),148.77)</f>
        <v>148.77</v>
      </c>
      <c r="D670" s="22">
        <f>IFERROR(__xludf.DUMMYFUNCTION("""COMPUTED_VALUE"""),190.77)</f>
        <v>190.77</v>
      </c>
      <c r="E670" s="21">
        <f>IFERROR(__xludf.DUMMYFUNCTION("""COMPUTED_VALUE"""),128.52514371428572)</f>
        <v>128.5251437</v>
      </c>
      <c r="F670" s="21">
        <f>IFERROR(__xludf.DUMMYFUNCTION("""COMPUTED_VALUE"""),150.85999999999999)</f>
        <v>150.86</v>
      </c>
      <c r="G670" s="21">
        <f>IFERROR(__xludf.DUMMYFUNCTION("""COMPUTED_VALUE"""),133.78)</f>
        <v>133.78</v>
      </c>
    </row>
    <row r="671">
      <c r="A671" s="23">
        <f>IFERROR(__xludf.DUMMYFUNCTION("""COMPUTED_VALUE"""),45231.0)</f>
        <v>45231</v>
      </c>
      <c r="B671" s="21">
        <f>IFERROR(__xludf.DUMMYFUNCTION("""COMPUTED_VALUE"""),170.5)</f>
        <v>170.5</v>
      </c>
      <c r="C671" s="22">
        <f>IFERROR(__xludf.DUMMYFUNCTION("""COMPUTED_VALUE"""),148.77)</f>
        <v>148.77</v>
      </c>
      <c r="D671" s="22">
        <f>IFERROR(__xludf.DUMMYFUNCTION("""COMPUTED_VALUE"""),190.77)</f>
        <v>190.77</v>
      </c>
      <c r="E671" s="21">
        <f>IFERROR(__xludf.DUMMYFUNCTION("""COMPUTED_VALUE"""),123.13858282857143)</f>
        <v>123.1385828</v>
      </c>
      <c r="F671" s="21">
        <f>IFERROR(__xludf.DUMMYFUNCTION("""COMPUTED_VALUE"""),150.85999999999999)</f>
        <v>150.86</v>
      </c>
      <c r="G671" s="21">
        <f>IFERROR(__xludf.DUMMYFUNCTION("""COMPUTED_VALUE"""),133.78)</f>
        <v>133.78</v>
      </c>
    </row>
    <row r="672">
      <c r="A672" s="20">
        <f>IFERROR(__xludf.DUMMYFUNCTION("""COMPUTED_VALUE"""),45232.0)</f>
        <v>45232</v>
      </c>
      <c r="B672" s="21">
        <f>IFERROR(__xludf.DUMMYFUNCTION("""COMPUTED_VALUE"""),170.5)</f>
        <v>170.5</v>
      </c>
      <c r="C672" s="22">
        <f>IFERROR(__xludf.DUMMYFUNCTION("""COMPUTED_VALUE"""),148.77)</f>
        <v>148.77</v>
      </c>
      <c r="D672" s="22">
        <f>IFERROR(__xludf.DUMMYFUNCTION("""COMPUTED_VALUE"""),190.77)</f>
        <v>190.77</v>
      </c>
      <c r="E672" s="21">
        <f>IFERROR(__xludf.DUMMYFUNCTION("""COMPUTED_VALUE"""),119.0831591857143)</f>
        <v>119.0831592</v>
      </c>
      <c r="F672" s="21">
        <f>IFERROR(__xludf.DUMMYFUNCTION("""COMPUTED_VALUE"""),150.85999999999999)</f>
        <v>150.86</v>
      </c>
      <c r="G672" s="21">
        <f>IFERROR(__xludf.DUMMYFUNCTION("""COMPUTED_VALUE"""),133.78)</f>
        <v>133.78</v>
      </c>
    </row>
    <row r="673">
      <c r="A673" s="20">
        <f>IFERROR(__xludf.DUMMYFUNCTION("""COMPUTED_VALUE"""),45233.0)</f>
        <v>45233</v>
      </c>
      <c r="B673" s="21">
        <f>IFERROR(__xludf.DUMMYFUNCTION("""COMPUTED_VALUE"""),170.5)</f>
        <v>170.5</v>
      </c>
      <c r="C673" s="22">
        <f>IFERROR(__xludf.DUMMYFUNCTION("""COMPUTED_VALUE"""),148.77)</f>
        <v>148.77</v>
      </c>
      <c r="D673" s="22">
        <f>IFERROR(__xludf.DUMMYFUNCTION("""COMPUTED_VALUE"""),190.77)</f>
        <v>190.77</v>
      </c>
      <c r="E673" s="21">
        <f>IFERROR(__xludf.DUMMYFUNCTION("""COMPUTED_VALUE"""),112.75150410000002)</f>
        <v>112.7515041</v>
      </c>
      <c r="F673" s="21">
        <f>IFERROR(__xludf.DUMMYFUNCTION("""COMPUTED_VALUE"""),150.85999999999999)</f>
        <v>150.86</v>
      </c>
      <c r="G673" s="21">
        <f>IFERROR(__xludf.DUMMYFUNCTION("""COMPUTED_VALUE"""),133.78)</f>
        <v>133.78</v>
      </c>
    </row>
    <row r="674">
      <c r="A674" s="20">
        <f>IFERROR(__xludf.DUMMYFUNCTION("""COMPUTED_VALUE"""),45234.0)</f>
        <v>45234</v>
      </c>
      <c r="B674" s="21">
        <f>IFERROR(__xludf.DUMMYFUNCTION("""COMPUTED_VALUE"""),170.5)</f>
        <v>170.5</v>
      </c>
      <c r="C674" s="22">
        <f>IFERROR(__xludf.DUMMYFUNCTION("""COMPUTED_VALUE"""),148.77)</f>
        <v>148.77</v>
      </c>
      <c r="D674" s="22">
        <f>IFERROR(__xludf.DUMMYFUNCTION("""COMPUTED_VALUE"""),190.77)</f>
        <v>190.77</v>
      </c>
      <c r="E674" s="21">
        <f>IFERROR(__xludf.DUMMYFUNCTION("""COMPUTED_VALUE"""),108.31817621571429)</f>
        <v>108.3181762</v>
      </c>
      <c r="F674" s="21">
        <f>IFERROR(__xludf.DUMMYFUNCTION("""COMPUTED_VALUE"""),150.85999999999999)</f>
        <v>150.86</v>
      </c>
      <c r="G674" s="21">
        <f>IFERROR(__xludf.DUMMYFUNCTION("""COMPUTED_VALUE"""),133.78)</f>
        <v>133.78</v>
      </c>
    </row>
    <row r="675">
      <c r="A675" s="20">
        <f>IFERROR(__xludf.DUMMYFUNCTION("""COMPUTED_VALUE"""),45235.0)</f>
        <v>45235</v>
      </c>
      <c r="B675" s="21">
        <f>IFERROR(__xludf.DUMMYFUNCTION("""COMPUTED_VALUE"""),170.5)</f>
        <v>170.5</v>
      </c>
      <c r="C675" s="22">
        <f>IFERROR(__xludf.DUMMYFUNCTION("""COMPUTED_VALUE"""),148.77)</f>
        <v>148.77</v>
      </c>
      <c r="D675" s="22">
        <f>IFERROR(__xludf.DUMMYFUNCTION("""COMPUTED_VALUE"""),190.77)</f>
        <v>190.77</v>
      </c>
      <c r="E675" s="21">
        <f>IFERROR(__xludf.DUMMYFUNCTION("""COMPUTED_VALUE"""),100.32808052714286)</f>
        <v>100.3280805</v>
      </c>
      <c r="F675" s="21">
        <f>IFERROR(__xludf.DUMMYFUNCTION("""COMPUTED_VALUE"""),150.85999999999999)</f>
        <v>150.86</v>
      </c>
      <c r="G675" s="21">
        <f>IFERROR(__xludf.DUMMYFUNCTION("""COMPUTED_VALUE"""),133.78)</f>
        <v>133.78</v>
      </c>
    </row>
    <row r="676">
      <c r="A676" s="20">
        <f>IFERROR(__xludf.DUMMYFUNCTION("""COMPUTED_VALUE"""),45236.0)</f>
        <v>45236</v>
      </c>
      <c r="B676" s="21">
        <f>IFERROR(__xludf.DUMMYFUNCTION("""COMPUTED_VALUE"""),172.07)</f>
        <v>172.07</v>
      </c>
      <c r="C676" s="22">
        <f>IFERROR(__xludf.DUMMYFUNCTION("""COMPUTED_VALUE"""),154.59)</f>
        <v>154.59</v>
      </c>
      <c r="D676" s="22">
        <f>IFERROR(__xludf.DUMMYFUNCTION("""COMPUTED_VALUE"""),191.85)</f>
        <v>191.85</v>
      </c>
      <c r="E676" s="21">
        <f>IFERROR(__xludf.DUMMYFUNCTION("""COMPUTED_VALUE"""),97.5156235842857)</f>
        <v>97.51562358</v>
      </c>
      <c r="F676" s="21">
        <f>IFERROR(__xludf.DUMMYFUNCTION("""COMPUTED_VALUE"""),150.2875)</f>
        <v>150.2875</v>
      </c>
      <c r="G676" s="21">
        <f>IFERROR(__xludf.DUMMYFUNCTION("""COMPUTED_VALUE"""),133.78)</f>
        <v>133.78</v>
      </c>
    </row>
    <row r="677">
      <c r="A677" s="20">
        <f>IFERROR(__xludf.DUMMYFUNCTION("""COMPUTED_VALUE"""),45237.0)</f>
        <v>45237</v>
      </c>
      <c r="B677" s="21">
        <f>IFERROR(__xludf.DUMMYFUNCTION("""COMPUTED_VALUE"""),172.07)</f>
        <v>172.07</v>
      </c>
      <c r="C677" s="22">
        <f>IFERROR(__xludf.DUMMYFUNCTION("""COMPUTED_VALUE"""),154.59)</f>
        <v>154.59</v>
      </c>
      <c r="D677" s="22">
        <f>IFERROR(__xludf.DUMMYFUNCTION("""COMPUTED_VALUE"""),191.85)</f>
        <v>191.85</v>
      </c>
      <c r="E677" s="21">
        <f>IFERROR(__xludf.DUMMYFUNCTION("""COMPUTED_VALUE"""),97.64467562714286)</f>
        <v>97.64467563</v>
      </c>
      <c r="F677" s="21">
        <f>IFERROR(__xludf.DUMMYFUNCTION("""COMPUTED_VALUE"""),149.715)</f>
        <v>149.715</v>
      </c>
      <c r="G677" s="21">
        <f>IFERROR(__xludf.DUMMYFUNCTION("""COMPUTED_VALUE"""),133.78)</f>
        <v>133.78</v>
      </c>
    </row>
    <row r="678">
      <c r="A678" s="20">
        <f>IFERROR(__xludf.DUMMYFUNCTION("""COMPUTED_VALUE"""),45238.0)</f>
        <v>45238</v>
      </c>
      <c r="B678" s="21">
        <f>IFERROR(__xludf.DUMMYFUNCTION("""COMPUTED_VALUE"""),172.07)</f>
        <v>172.07</v>
      </c>
      <c r="C678" s="22">
        <f>IFERROR(__xludf.DUMMYFUNCTION("""COMPUTED_VALUE"""),154.59)</f>
        <v>154.59</v>
      </c>
      <c r="D678" s="22">
        <f>IFERROR(__xludf.DUMMYFUNCTION("""COMPUTED_VALUE"""),191.85)</f>
        <v>191.85</v>
      </c>
      <c r="E678" s="21">
        <f>IFERROR(__xludf.DUMMYFUNCTION("""COMPUTED_VALUE"""),102.65849942714284)</f>
        <v>102.6584994</v>
      </c>
      <c r="F678" s="21">
        <f>IFERROR(__xludf.DUMMYFUNCTION("""COMPUTED_VALUE"""),149.14249999999998)</f>
        <v>149.1425</v>
      </c>
      <c r="G678" s="21">
        <f>IFERROR(__xludf.DUMMYFUNCTION("""COMPUTED_VALUE"""),133.78)</f>
        <v>133.78</v>
      </c>
    </row>
    <row r="679">
      <c r="A679" s="20">
        <f>IFERROR(__xludf.DUMMYFUNCTION("""COMPUTED_VALUE"""),45239.0)</f>
        <v>45239</v>
      </c>
      <c r="B679" s="21">
        <f>IFERROR(__xludf.DUMMYFUNCTION("""COMPUTED_VALUE"""),172.07)</f>
        <v>172.07</v>
      </c>
      <c r="C679" s="22">
        <f>IFERROR(__xludf.DUMMYFUNCTION("""COMPUTED_VALUE"""),154.59)</f>
        <v>154.59</v>
      </c>
      <c r="D679" s="22">
        <f>IFERROR(__xludf.DUMMYFUNCTION("""COMPUTED_VALUE"""),191.85)</f>
        <v>191.85</v>
      </c>
      <c r="E679" s="21">
        <f>IFERROR(__xludf.DUMMYFUNCTION("""COMPUTED_VALUE"""),105.31706912714286)</f>
        <v>105.3170691</v>
      </c>
      <c r="F679" s="21">
        <f>IFERROR(__xludf.DUMMYFUNCTION("""COMPUTED_VALUE"""),148.57)</f>
        <v>148.57</v>
      </c>
      <c r="G679" s="21">
        <f>IFERROR(__xludf.DUMMYFUNCTION("""COMPUTED_VALUE"""),133.78)</f>
        <v>133.78</v>
      </c>
    </row>
    <row r="680">
      <c r="A680" s="20">
        <f>IFERROR(__xludf.DUMMYFUNCTION("""COMPUTED_VALUE"""),45240.0)</f>
        <v>45240</v>
      </c>
      <c r="B680" s="21">
        <f>IFERROR(__xludf.DUMMYFUNCTION("""COMPUTED_VALUE"""),172.07)</f>
        <v>172.07</v>
      </c>
      <c r="C680" s="22">
        <f>IFERROR(__xludf.DUMMYFUNCTION("""COMPUTED_VALUE"""),154.59)</f>
        <v>154.59</v>
      </c>
      <c r="D680" s="22">
        <f>IFERROR(__xludf.DUMMYFUNCTION("""COMPUTED_VALUE"""),191.85)</f>
        <v>191.85</v>
      </c>
      <c r="E680" s="21">
        <f>IFERROR(__xludf.DUMMYFUNCTION("""COMPUTED_VALUE"""),111.92362232714285)</f>
        <v>111.9236223</v>
      </c>
      <c r="F680" s="21">
        <f>IFERROR(__xludf.DUMMYFUNCTION("""COMPUTED_VALUE"""),147.99749999999997)</f>
        <v>147.9975</v>
      </c>
      <c r="G680" s="21">
        <f>IFERROR(__xludf.DUMMYFUNCTION("""COMPUTED_VALUE"""),133.78)</f>
        <v>133.78</v>
      </c>
    </row>
    <row r="681">
      <c r="A681" s="24">
        <f>IFERROR(__xludf.DUMMYFUNCTION("""COMPUTED_VALUE"""),45241.0)</f>
        <v>45241</v>
      </c>
      <c r="B681" s="21">
        <f>IFERROR(__xludf.DUMMYFUNCTION("""COMPUTED_VALUE"""),172.07)</f>
        <v>172.07</v>
      </c>
      <c r="C681" s="22">
        <f>IFERROR(__xludf.DUMMYFUNCTION("""COMPUTED_VALUE"""),154.59)</f>
        <v>154.59</v>
      </c>
      <c r="D681" s="22">
        <f>IFERROR(__xludf.DUMMYFUNCTION("""COMPUTED_VALUE"""),191.85)</f>
        <v>191.85</v>
      </c>
      <c r="E681" s="21">
        <f>IFERROR(__xludf.DUMMYFUNCTION("""COMPUTED_VALUE"""),116.06738406857143)</f>
        <v>116.0673841</v>
      </c>
      <c r="F681" s="21">
        <f>IFERROR(__xludf.DUMMYFUNCTION("""COMPUTED_VALUE"""),147.42499999999998)</f>
        <v>147.425</v>
      </c>
      <c r="G681" s="21">
        <f>IFERROR(__xludf.DUMMYFUNCTION("""COMPUTED_VALUE"""),133.78)</f>
        <v>133.78</v>
      </c>
    </row>
    <row r="682">
      <c r="A682" s="24">
        <f>IFERROR(__xludf.DUMMYFUNCTION("""COMPUTED_VALUE"""),45242.0)</f>
        <v>45242</v>
      </c>
      <c r="B682" s="21">
        <f>IFERROR(__xludf.DUMMYFUNCTION("""COMPUTED_VALUE"""),172.07)</f>
        <v>172.07</v>
      </c>
      <c r="C682" s="22">
        <f>IFERROR(__xludf.DUMMYFUNCTION("""COMPUTED_VALUE"""),154.59)</f>
        <v>154.59</v>
      </c>
      <c r="D682" s="22">
        <f>IFERROR(__xludf.DUMMYFUNCTION("""COMPUTED_VALUE"""),191.85)</f>
        <v>191.85</v>
      </c>
      <c r="E682" s="21">
        <f>IFERROR(__xludf.DUMMYFUNCTION("""COMPUTED_VALUE"""),124.02222751428573)</f>
        <v>124.0222275</v>
      </c>
      <c r="F682" s="21">
        <f>IFERROR(__xludf.DUMMYFUNCTION("""COMPUTED_VALUE"""),146.8525)</f>
        <v>146.8525</v>
      </c>
      <c r="G682" s="21">
        <f>IFERROR(__xludf.DUMMYFUNCTION("""COMPUTED_VALUE"""),133.78)</f>
        <v>133.78</v>
      </c>
    </row>
    <row r="683">
      <c r="A683" s="24">
        <f>IFERROR(__xludf.DUMMYFUNCTION("""COMPUTED_VALUE"""),45243.0)</f>
        <v>45243</v>
      </c>
      <c r="B683" s="21">
        <f>IFERROR(__xludf.DUMMYFUNCTION("""COMPUTED_VALUE"""),172.07)</f>
        <v>172.07</v>
      </c>
      <c r="C683" s="22">
        <f>IFERROR(__xludf.DUMMYFUNCTION("""COMPUTED_VALUE"""),154.59)</f>
        <v>154.59</v>
      </c>
      <c r="D683" s="22">
        <f>IFERROR(__xludf.DUMMYFUNCTION("""COMPUTED_VALUE"""),191.85)</f>
        <v>191.85</v>
      </c>
      <c r="E683" s="21">
        <f>IFERROR(__xludf.DUMMYFUNCTION("""COMPUTED_VALUE"""),126.69776441428573)</f>
        <v>126.6977644</v>
      </c>
      <c r="F683" s="21">
        <f>IFERROR(__xludf.DUMMYFUNCTION("""COMPUTED_VALUE"""),145.80357142857142)</f>
        <v>145.8035714</v>
      </c>
      <c r="G683" s="21">
        <f>IFERROR(__xludf.DUMMYFUNCTION("""COMPUTED_VALUE"""),133.78)</f>
        <v>133.78</v>
      </c>
    </row>
    <row r="684">
      <c r="A684" s="23">
        <f>IFERROR(__xludf.DUMMYFUNCTION("""COMPUTED_VALUE"""),45244.0)</f>
        <v>45244</v>
      </c>
      <c r="B684" s="21">
        <f>IFERROR(__xludf.DUMMYFUNCTION("""COMPUTED_VALUE"""),172.07)</f>
        <v>172.07</v>
      </c>
      <c r="C684" s="22">
        <f>IFERROR(__xludf.DUMMYFUNCTION("""COMPUTED_VALUE"""),154.59)</f>
        <v>154.59</v>
      </c>
      <c r="D684" s="22">
        <f>IFERROR(__xludf.DUMMYFUNCTION("""COMPUTED_VALUE"""),191.85)</f>
        <v>191.85</v>
      </c>
      <c r="E684" s="21">
        <f>IFERROR(__xludf.DUMMYFUNCTION("""COMPUTED_VALUE"""),126.76585522857143)</f>
        <v>126.7658552</v>
      </c>
      <c r="F684" s="21">
        <f>IFERROR(__xludf.DUMMYFUNCTION("""COMPUTED_VALUE"""),144.75464285714284)</f>
        <v>144.7546429</v>
      </c>
      <c r="G684" s="21">
        <f>IFERROR(__xludf.DUMMYFUNCTION("""COMPUTED_VALUE"""),133.78)</f>
        <v>133.78</v>
      </c>
    </row>
    <row r="685">
      <c r="A685" s="23">
        <f>IFERROR(__xludf.DUMMYFUNCTION("""COMPUTED_VALUE"""),45245.0)</f>
        <v>45245</v>
      </c>
      <c r="B685" s="21">
        <f>IFERROR(__xludf.DUMMYFUNCTION("""COMPUTED_VALUE"""),172.07)</f>
        <v>172.07</v>
      </c>
      <c r="C685" s="22">
        <f>IFERROR(__xludf.DUMMYFUNCTION("""COMPUTED_VALUE"""),154.59)</f>
        <v>154.59</v>
      </c>
      <c r="D685" s="22">
        <f>IFERROR(__xludf.DUMMYFUNCTION("""COMPUTED_VALUE"""),191.85)</f>
        <v>191.85</v>
      </c>
      <c r="E685" s="21">
        <f>IFERROR(__xludf.DUMMYFUNCTION("""COMPUTED_VALUE"""),125.07342241428572)</f>
        <v>125.0734224</v>
      </c>
      <c r="F685" s="21">
        <f>IFERROR(__xludf.DUMMYFUNCTION("""COMPUTED_VALUE"""),143.70571428571427)</f>
        <v>143.7057143</v>
      </c>
      <c r="G685" s="21">
        <f>IFERROR(__xludf.DUMMYFUNCTION("""COMPUTED_VALUE"""),133.78)</f>
        <v>133.78</v>
      </c>
    </row>
    <row r="686">
      <c r="A686" s="23">
        <f>IFERROR(__xludf.DUMMYFUNCTION("""COMPUTED_VALUE"""),45246.0)</f>
        <v>45246</v>
      </c>
      <c r="B686" s="21">
        <f>IFERROR(__xludf.DUMMYFUNCTION("""COMPUTED_VALUE"""),172.07)</f>
        <v>172.07</v>
      </c>
      <c r="C686" s="22">
        <f>IFERROR(__xludf.DUMMYFUNCTION("""COMPUTED_VALUE"""),154.59)</f>
        <v>154.59</v>
      </c>
      <c r="D686" s="22">
        <f>IFERROR(__xludf.DUMMYFUNCTION("""COMPUTED_VALUE"""),191.85)</f>
        <v>191.85</v>
      </c>
      <c r="E686" s="21">
        <f>IFERROR(__xludf.DUMMYFUNCTION("""COMPUTED_VALUE"""),125.49946010000001)</f>
        <v>125.4994601</v>
      </c>
      <c r="F686" s="21">
        <f>IFERROR(__xludf.DUMMYFUNCTION("""COMPUTED_VALUE"""),142.65678571428572)</f>
        <v>142.6567857</v>
      </c>
      <c r="G686" s="21">
        <f>IFERROR(__xludf.DUMMYFUNCTION("""COMPUTED_VALUE"""),133.78)</f>
        <v>133.78</v>
      </c>
    </row>
    <row r="687">
      <c r="A687" s="23">
        <f>IFERROR(__xludf.DUMMYFUNCTION("""COMPUTED_VALUE"""),45247.0)</f>
        <v>45247</v>
      </c>
      <c r="B687" s="21">
        <f>IFERROR(__xludf.DUMMYFUNCTION("""COMPUTED_VALUE"""),172.07)</f>
        <v>172.07</v>
      </c>
      <c r="C687" s="22">
        <f>IFERROR(__xludf.DUMMYFUNCTION("""COMPUTED_VALUE"""),154.59)</f>
        <v>154.59</v>
      </c>
      <c r="D687" s="22">
        <f>IFERROR(__xludf.DUMMYFUNCTION("""COMPUTED_VALUE"""),191.85)</f>
        <v>191.85</v>
      </c>
      <c r="E687" s="21">
        <f>IFERROR(__xludf.DUMMYFUNCTION("""COMPUTED_VALUE"""),125.31385701428572)</f>
        <v>125.313857</v>
      </c>
      <c r="F687" s="21">
        <f>IFERROR(__xludf.DUMMYFUNCTION("""COMPUTED_VALUE"""),141.6078571428571)</f>
        <v>141.6078571</v>
      </c>
      <c r="G687" s="21">
        <f>IFERROR(__xludf.DUMMYFUNCTION("""COMPUTED_VALUE"""),133.78)</f>
        <v>133.78</v>
      </c>
    </row>
    <row r="688">
      <c r="A688" s="23">
        <f>IFERROR(__xludf.DUMMYFUNCTION("""COMPUTED_VALUE"""),45248.0)</f>
        <v>45248</v>
      </c>
      <c r="B688" s="21">
        <f>IFERROR(__xludf.DUMMYFUNCTION("""COMPUTED_VALUE"""),172.07)</f>
        <v>172.07</v>
      </c>
      <c r="C688" s="22">
        <f>IFERROR(__xludf.DUMMYFUNCTION("""COMPUTED_VALUE"""),154.59)</f>
        <v>154.59</v>
      </c>
      <c r="D688" s="22">
        <f>IFERROR(__xludf.DUMMYFUNCTION("""COMPUTED_VALUE"""),191.85)</f>
        <v>191.85</v>
      </c>
      <c r="E688" s="21">
        <f>IFERROR(__xludf.DUMMYFUNCTION("""COMPUTED_VALUE"""),128.63750118571429)</f>
        <v>128.6375012</v>
      </c>
      <c r="F688" s="21">
        <f>IFERROR(__xludf.DUMMYFUNCTION("""COMPUTED_VALUE"""),140.55892857142857)</f>
        <v>140.5589286</v>
      </c>
      <c r="G688" s="21">
        <f>IFERROR(__xludf.DUMMYFUNCTION("""COMPUTED_VALUE"""),133.78)</f>
        <v>133.78</v>
      </c>
    </row>
    <row r="689">
      <c r="A689" s="23">
        <f>IFERROR(__xludf.DUMMYFUNCTION("""COMPUTED_VALUE"""),45249.0)</f>
        <v>45249</v>
      </c>
      <c r="B689" s="21">
        <f>IFERROR(__xludf.DUMMYFUNCTION("""COMPUTED_VALUE"""),172.07)</f>
        <v>172.07</v>
      </c>
      <c r="C689" s="22">
        <f>IFERROR(__xludf.DUMMYFUNCTION("""COMPUTED_VALUE"""),154.59)</f>
        <v>154.59</v>
      </c>
      <c r="D689" s="22">
        <f>IFERROR(__xludf.DUMMYFUNCTION("""COMPUTED_VALUE"""),191.85)</f>
        <v>191.85</v>
      </c>
      <c r="E689" s="21">
        <f>IFERROR(__xludf.DUMMYFUNCTION("""COMPUTED_VALUE"""),128.59904975714284)</f>
        <v>128.5990498</v>
      </c>
      <c r="F689" s="21">
        <f>IFERROR(__xludf.DUMMYFUNCTION("""COMPUTED_VALUE"""),139.51)</f>
        <v>139.51</v>
      </c>
      <c r="G689" s="21">
        <f>IFERROR(__xludf.DUMMYFUNCTION("""COMPUTED_VALUE"""),133.78)</f>
        <v>133.78</v>
      </c>
    </row>
    <row r="690">
      <c r="A690" s="23">
        <f>IFERROR(__xludf.DUMMYFUNCTION("""COMPUTED_VALUE"""),45250.0)</f>
        <v>45250</v>
      </c>
      <c r="B690" s="21">
        <f>IFERROR(__xludf.DUMMYFUNCTION("""COMPUTED_VALUE"""),172.07)</f>
        <v>172.07</v>
      </c>
      <c r="C690" s="22">
        <f>IFERROR(__xludf.DUMMYFUNCTION("""COMPUTED_VALUE"""),154.59)</f>
        <v>154.59</v>
      </c>
      <c r="D690" s="22">
        <f>IFERROR(__xludf.DUMMYFUNCTION("""COMPUTED_VALUE"""),191.85)</f>
        <v>191.85</v>
      </c>
      <c r="E690" s="21">
        <f>IFERROR(__xludf.DUMMYFUNCTION("""COMPUTED_VALUE"""),129.7698417285714)</f>
        <v>129.7698417</v>
      </c>
      <c r="F690" s="21">
        <f>IFERROR(__xludf.DUMMYFUNCTION("""COMPUTED_VALUE"""),139.27142857142857)</f>
        <v>139.2714286</v>
      </c>
      <c r="G690" s="21">
        <f>IFERROR(__xludf.DUMMYFUNCTION("""COMPUTED_VALUE"""),133.78)</f>
        <v>133.78</v>
      </c>
    </row>
    <row r="691">
      <c r="A691" s="23">
        <f>IFERROR(__xludf.DUMMYFUNCTION("""COMPUTED_VALUE"""),45251.0)</f>
        <v>45251</v>
      </c>
      <c r="B691" s="21">
        <f>IFERROR(__xludf.DUMMYFUNCTION("""COMPUTED_VALUE"""),172.07)</f>
        <v>172.07</v>
      </c>
      <c r="C691" s="22">
        <f>IFERROR(__xludf.DUMMYFUNCTION("""COMPUTED_VALUE"""),154.59)</f>
        <v>154.59</v>
      </c>
      <c r="D691" s="22">
        <f>IFERROR(__xludf.DUMMYFUNCTION("""COMPUTED_VALUE"""),191.85)</f>
        <v>191.85</v>
      </c>
      <c r="E691" s="21">
        <f>IFERROR(__xludf.DUMMYFUNCTION("""COMPUTED_VALUE"""),130.11936625714284)</f>
        <v>130.1193663</v>
      </c>
      <c r="F691" s="21">
        <f>IFERROR(__xludf.DUMMYFUNCTION("""COMPUTED_VALUE"""),139.03285714285715)</f>
        <v>139.0328571</v>
      </c>
      <c r="G691" s="21">
        <f>IFERROR(__xludf.DUMMYFUNCTION("""COMPUTED_VALUE"""),133.78)</f>
        <v>133.78</v>
      </c>
    </row>
    <row r="692">
      <c r="A692" s="23">
        <f>IFERROR(__xludf.DUMMYFUNCTION("""COMPUTED_VALUE"""),45252.0)</f>
        <v>45252</v>
      </c>
      <c r="B692" s="21">
        <f>IFERROR(__xludf.DUMMYFUNCTION("""COMPUTED_VALUE"""),172.07)</f>
        <v>172.07</v>
      </c>
      <c r="C692" s="22">
        <f>IFERROR(__xludf.DUMMYFUNCTION("""COMPUTED_VALUE"""),154.59)</f>
        <v>154.59</v>
      </c>
      <c r="D692" s="22">
        <f>IFERROR(__xludf.DUMMYFUNCTION("""COMPUTED_VALUE"""),191.85)</f>
        <v>191.85</v>
      </c>
      <c r="E692" s="21">
        <f>IFERROR(__xludf.DUMMYFUNCTION("""COMPUTED_VALUE"""),132.07468495714286)</f>
        <v>132.074685</v>
      </c>
      <c r="F692" s="21">
        <f>IFERROR(__xludf.DUMMYFUNCTION("""COMPUTED_VALUE"""),138.79428571428573)</f>
        <v>138.7942857</v>
      </c>
      <c r="G692" s="21">
        <f>IFERROR(__xludf.DUMMYFUNCTION("""COMPUTED_VALUE"""),133.78)</f>
        <v>133.78</v>
      </c>
    </row>
    <row r="693">
      <c r="A693" s="23">
        <f>IFERROR(__xludf.DUMMYFUNCTION("""COMPUTED_VALUE"""),45253.0)</f>
        <v>45253</v>
      </c>
      <c r="B693" s="21">
        <f>IFERROR(__xludf.DUMMYFUNCTION("""COMPUTED_VALUE"""),172.07)</f>
        <v>172.07</v>
      </c>
      <c r="C693" s="22">
        <f>IFERROR(__xludf.DUMMYFUNCTION("""COMPUTED_VALUE"""),154.59)</f>
        <v>154.59</v>
      </c>
      <c r="D693" s="22">
        <f>IFERROR(__xludf.DUMMYFUNCTION("""COMPUTED_VALUE"""),191.85)</f>
        <v>191.85</v>
      </c>
      <c r="E693" s="21">
        <f>IFERROR(__xludf.DUMMYFUNCTION("""COMPUTED_VALUE"""),131.3148899)</f>
        <v>131.3148899</v>
      </c>
      <c r="F693" s="21">
        <f>IFERROR(__xludf.DUMMYFUNCTION("""COMPUTED_VALUE"""),138.5557142857143)</f>
        <v>138.5557143</v>
      </c>
      <c r="G693" s="21">
        <f>IFERROR(__xludf.DUMMYFUNCTION("""COMPUTED_VALUE"""),133.78)</f>
        <v>133.78</v>
      </c>
    </row>
    <row r="694">
      <c r="A694" s="23">
        <f>IFERROR(__xludf.DUMMYFUNCTION("""COMPUTED_VALUE"""),45254.0)</f>
        <v>45254</v>
      </c>
      <c r="B694" s="21">
        <f>IFERROR(__xludf.DUMMYFUNCTION("""COMPUTED_VALUE"""),172.07)</f>
        <v>172.07</v>
      </c>
      <c r="C694" s="22">
        <f>IFERROR(__xludf.DUMMYFUNCTION("""COMPUTED_VALUE"""),154.59)</f>
        <v>154.59</v>
      </c>
      <c r="D694" s="22">
        <f>IFERROR(__xludf.DUMMYFUNCTION("""COMPUTED_VALUE"""),191.85)</f>
        <v>191.85</v>
      </c>
      <c r="E694" s="21">
        <f>IFERROR(__xludf.DUMMYFUNCTION("""COMPUTED_VALUE"""),132.26841087142856)</f>
        <v>132.2684109</v>
      </c>
      <c r="F694" s="21">
        <f>IFERROR(__xludf.DUMMYFUNCTION("""COMPUTED_VALUE"""),138.31714285714287)</f>
        <v>138.3171429</v>
      </c>
      <c r="G694" s="21">
        <f>IFERROR(__xludf.DUMMYFUNCTION("""COMPUTED_VALUE"""),133.78)</f>
        <v>133.78</v>
      </c>
    </row>
    <row r="695">
      <c r="A695" s="23">
        <f>IFERROR(__xludf.DUMMYFUNCTION("""COMPUTED_VALUE"""),45255.0)</f>
        <v>45255</v>
      </c>
      <c r="B695" s="21">
        <f>IFERROR(__xludf.DUMMYFUNCTION("""COMPUTED_VALUE"""),172.07)</f>
        <v>172.07</v>
      </c>
      <c r="C695" s="22">
        <f>IFERROR(__xludf.DUMMYFUNCTION("""COMPUTED_VALUE"""),154.59)</f>
        <v>154.59</v>
      </c>
      <c r="D695" s="22">
        <f>IFERROR(__xludf.DUMMYFUNCTION("""COMPUTED_VALUE"""),191.85)</f>
        <v>191.85</v>
      </c>
      <c r="E695" s="21">
        <f>IFERROR(__xludf.DUMMYFUNCTION("""COMPUTED_VALUE"""),131.4375730857143)</f>
        <v>131.4375731</v>
      </c>
      <c r="F695" s="21">
        <f>IFERROR(__xludf.DUMMYFUNCTION("""COMPUTED_VALUE"""),138.07857142857145)</f>
        <v>138.0785714</v>
      </c>
      <c r="G695" s="21">
        <f>IFERROR(__xludf.DUMMYFUNCTION("""COMPUTED_VALUE"""),133.78)</f>
        <v>133.78</v>
      </c>
    </row>
    <row r="696">
      <c r="A696" s="23">
        <f>IFERROR(__xludf.DUMMYFUNCTION("""COMPUTED_VALUE"""),45256.0)</f>
        <v>45256</v>
      </c>
      <c r="B696" s="21">
        <f>IFERROR(__xludf.DUMMYFUNCTION("""COMPUTED_VALUE"""),172.07)</f>
        <v>172.07</v>
      </c>
      <c r="C696" s="22">
        <f>IFERROR(__xludf.DUMMYFUNCTION("""COMPUTED_VALUE"""),154.59)</f>
        <v>154.59</v>
      </c>
      <c r="D696" s="22">
        <f>IFERROR(__xludf.DUMMYFUNCTION("""COMPUTED_VALUE"""),191.85)</f>
        <v>191.85</v>
      </c>
      <c r="E696" s="21">
        <f>IFERROR(__xludf.DUMMYFUNCTION("""COMPUTED_VALUE"""),133.44551175714287)</f>
        <v>133.4455118</v>
      </c>
      <c r="F696" s="21">
        <f>IFERROR(__xludf.DUMMYFUNCTION("""COMPUTED_VALUE"""),137.84)</f>
        <v>137.84</v>
      </c>
      <c r="G696" s="21">
        <f>IFERROR(__xludf.DUMMYFUNCTION("""COMPUTED_VALUE"""),133.78)</f>
        <v>133.78</v>
      </c>
    </row>
    <row r="697">
      <c r="A697" s="23">
        <f>IFERROR(__xludf.DUMMYFUNCTION("""COMPUTED_VALUE"""),45257.0)</f>
        <v>45257</v>
      </c>
      <c r="B697" s="21">
        <f>IFERROR(__xludf.DUMMYFUNCTION("""COMPUTED_VALUE"""),170.32)</f>
        <v>170.32</v>
      </c>
      <c r="C697" s="22">
        <f>IFERROR(__xludf.DUMMYFUNCTION("""COMPUTED_VALUE"""),145.5)</f>
        <v>145.5</v>
      </c>
      <c r="D697" s="22">
        <f>IFERROR(__xludf.DUMMYFUNCTION("""COMPUTED_VALUE"""),191.85)</f>
        <v>191.85</v>
      </c>
      <c r="E697" s="21">
        <f>IFERROR(__xludf.DUMMYFUNCTION("""COMPUTED_VALUE"""),133.9240155)</f>
        <v>133.9240155</v>
      </c>
      <c r="F697" s="21">
        <f>IFERROR(__xludf.DUMMYFUNCTION("""COMPUTED_VALUE"""),137.84)</f>
        <v>137.84</v>
      </c>
      <c r="G697" s="21">
        <f>IFERROR(__xludf.DUMMYFUNCTION("""COMPUTED_VALUE"""),133.78)</f>
        <v>133.78</v>
      </c>
    </row>
    <row r="698">
      <c r="A698" s="23">
        <f>IFERROR(__xludf.DUMMYFUNCTION("""COMPUTED_VALUE"""),45258.0)</f>
        <v>45258</v>
      </c>
      <c r="B698" s="21">
        <f>IFERROR(__xludf.DUMMYFUNCTION("""COMPUTED_VALUE"""),170.32)</f>
        <v>170.32</v>
      </c>
      <c r="C698" s="22">
        <f>IFERROR(__xludf.DUMMYFUNCTION("""COMPUTED_VALUE"""),145.5)</f>
        <v>145.5</v>
      </c>
      <c r="D698" s="22">
        <f>IFERROR(__xludf.DUMMYFUNCTION("""COMPUTED_VALUE"""),191.85)</f>
        <v>191.85</v>
      </c>
      <c r="E698" s="21">
        <f>IFERROR(__xludf.DUMMYFUNCTION("""COMPUTED_VALUE"""),134.3830624)</f>
        <v>134.3830624</v>
      </c>
      <c r="F698" s="21">
        <f>IFERROR(__xludf.DUMMYFUNCTION("""COMPUTED_VALUE"""),137.84)</f>
        <v>137.84</v>
      </c>
      <c r="G698" s="21">
        <f>IFERROR(__xludf.DUMMYFUNCTION("""COMPUTED_VALUE"""),133.78)</f>
        <v>133.78</v>
      </c>
    </row>
    <row r="699">
      <c r="A699" s="23">
        <f>IFERROR(__xludf.DUMMYFUNCTION("""COMPUTED_VALUE"""),45259.0)</f>
        <v>45259</v>
      </c>
      <c r="B699" s="21">
        <f>IFERROR(__xludf.DUMMYFUNCTION("""COMPUTED_VALUE"""),170.32)</f>
        <v>170.32</v>
      </c>
      <c r="C699" s="22">
        <f>IFERROR(__xludf.DUMMYFUNCTION("""COMPUTED_VALUE"""),145.5)</f>
        <v>145.5</v>
      </c>
      <c r="D699" s="22">
        <f>IFERROR(__xludf.DUMMYFUNCTION("""COMPUTED_VALUE"""),191.85)</f>
        <v>191.85</v>
      </c>
      <c r="E699" s="21">
        <f>IFERROR(__xludf.DUMMYFUNCTION("""COMPUTED_VALUE"""),136.0863151285714)</f>
        <v>136.0863151</v>
      </c>
      <c r="F699" s="21">
        <f>IFERROR(__xludf.DUMMYFUNCTION("""COMPUTED_VALUE"""),137.84)</f>
        <v>137.84</v>
      </c>
      <c r="G699" s="21">
        <f>IFERROR(__xludf.DUMMYFUNCTION("""COMPUTED_VALUE"""),133.78)</f>
        <v>133.78</v>
      </c>
    </row>
    <row r="700">
      <c r="A700" s="23">
        <f>IFERROR(__xludf.DUMMYFUNCTION("""COMPUTED_VALUE"""),45260.0)</f>
        <v>45260</v>
      </c>
      <c r="B700" s="21">
        <f>IFERROR(__xludf.DUMMYFUNCTION("""COMPUTED_VALUE"""),170.32)</f>
        <v>170.32</v>
      </c>
      <c r="C700" s="22">
        <f>IFERROR(__xludf.DUMMYFUNCTION("""COMPUTED_VALUE"""),145.5)</f>
        <v>145.5</v>
      </c>
      <c r="D700" s="22">
        <f>IFERROR(__xludf.DUMMYFUNCTION("""COMPUTED_VALUE"""),191.85)</f>
        <v>191.85</v>
      </c>
      <c r="E700" s="21">
        <f>IFERROR(__xludf.DUMMYFUNCTION("""COMPUTED_VALUE"""),139.88105285714283)</f>
        <v>139.8810529</v>
      </c>
      <c r="F700" s="21">
        <f>IFERROR(__xludf.DUMMYFUNCTION("""COMPUTED_VALUE"""),137.84)</f>
        <v>137.84</v>
      </c>
      <c r="G700" s="21">
        <f>IFERROR(__xludf.DUMMYFUNCTION("""COMPUTED_VALUE"""),133.78)</f>
        <v>133.78</v>
      </c>
    </row>
    <row r="701">
      <c r="A701" s="23">
        <f>IFERROR(__xludf.DUMMYFUNCTION("""COMPUTED_VALUE"""),45261.0)</f>
        <v>45261</v>
      </c>
      <c r="B701" s="21">
        <f>IFERROR(__xludf.DUMMYFUNCTION("""COMPUTED_VALUE"""),170.32)</f>
        <v>170.32</v>
      </c>
      <c r="C701" s="22">
        <f>IFERROR(__xludf.DUMMYFUNCTION("""COMPUTED_VALUE"""),145.5)</f>
        <v>145.5</v>
      </c>
      <c r="D701" s="22">
        <f>IFERROR(__xludf.DUMMYFUNCTION("""COMPUTED_VALUE"""),191.85)</f>
        <v>191.85</v>
      </c>
      <c r="E701" s="21">
        <f>IFERROR(__xludf.DUMMYFUNCTION("""COMPUTED_VALUE"""),142.06778387142856)</f>
        <v>142.0677839</v>
      </c>
      <c r="F701" s="21">
        <f>IFERROR(__xludf.DUMMYFUNCTION("""COMPUTED_VALUE"""),137.84)</f>
        <v>137.84</v>
      </c>
      <c r="G701" s="21">
        <f>IFERROR(__xludf.DUMMYFUNCTION("""COMPUTED_VALUE"""),133.78)</f>
        <v>133.78</v>
      </c>
    </row>
    <row r="702">
      <c r="A702" s="20">
        <f>IFERROR(__xludf.DUMMYFUNCTION("""COMPUTED_VALUE"""),45262.0)</f>
        <v>45262</v>
      </c>
      <c r="B702" s="21">
        <f>IFERROR(__xludf.DUMMYFUNCTION("""COMPUTED_VALUE"""),170.32)</f>
        <v>170.32</v>
      </c>
      <c r="C702" s="22">
        <f>IFERROR(__xludf.DUMMYFUNCTION("""COMPUTED_VALUE"""),145.5)</f>
        <v>145.5</v>
      </c>
      <c r="D702" s="22">
        <f>IFERROR(__xludf.DUMMYFUNCTION("""COMPUTED_VALUE"""),191.85)</f>
        <v>191.85</v>
      </c>
      <c r="E702" s="21">
        <f>IFERROR(__xludf.DUMMYFUNCTION("""COMPUTED_VALUE"""),141.02443319999998)</f>
        <v>141.0244332</v>
      </c>
      <c r="F702" s="21">
        <f>IFERROR(__xludf.DUMMYFUNCTION("""COMPUTED_VALUE"""),137.84)</f>
        <v>137.84</v>
      </c>
      <c r="G702" s="21">
        <f>IFERROR(__xludf.DUMMYFUNCTION("""COMPUTED_VALUE"""),133.78)</f>
        <v>133.78</v>
      </c>
    </row>
    <row r="703">
      <c r="A703" s="20">
        <f>IFERROR(__xludf.DUMMYFUNCTION("""COMPUTED_VALUE"""),45263.0)</f>
        <v>45263</v>
      </c>
      <c r="B703" s="21">
        <f>IFERROR(__xludf.DUMMYFUNCTION("""COMPUTED_VALUE"""),170.32)</f>
        <v>170.32</v>
      </c>
      <c r="C703" s="22">
        <f>IFERROR(__xludf.DUMMYFUNCTION("""COMPUTED_VALUE"""),145.5)</f>
        <v>145.5</v>
      </c>
      <c r="D703" s="22">
        <f>IFERROR(__xludf.DUMMYFUNCTION("""COMPUTED_VALUE"""),191.85)</f>
        <v>191.85</v>
      </c>
      <c r="E703" s="21">
        <f>IFERROR(__xludf.DUMMYFUNCTION("""COMPUTED_VALUE"""),137.9895859142857)</f>
        <v>137.9895859</v>
      </c>
      <c r="F703" s="21">
        <f>IFERROR(__xludf.DUMMYFUNCTION("""COMPUTED_VALUE"""),137.84)</f>
        <v>137.84</v>
      </c>
      <c r="G703" s="21">
        <f>IFERROR(__xludf.DUMMYFUNCTION("""COMPUTED_VALUE"""),133.78)</f>
        <v>133.78</v>
      </c>
    </row>
    <row r="704">
      <c r="A704" s="20">
        <f>IFERROR(__xludf.DUMMYFUNCTION("""COMPUTED_VALUE"""),45264.0)</f>
        <v>45264</v>
      </c>
      <c r="B704" s="21">
        <f>IFERROR(__xludf.DUMMYFUNCTION("""COMPUTED_VALUE"""),170.32)</f>
        <v>170.32</v>
      </c>
      <c r="C704" s="22">
        <f>IFERROR(__xludf.DUMMYFUNCTION("""COMPUTED_VALUE"""),145.5)</f>
        <v>145.5</v>
      </c>
      <c r="D704" s="22">
        <f>IFERROR(__xludf.DUMMYFUNCTION("""COMPUTED_VALUE"""),191.85)</f>
        <v>191.85</v>
      </c>
      <c r="E704" s="21">
        <f>IFERROR(__xludf.DUMMYFUNCTION("""COMPUTED_VALUE"""),138.00729529999998)</f>
        <v>138.0072953</v>
      </c>
      <c r="F704" s="21">
        <f>IFERROR(__xludf.DUMMYFUNCTION("""COMPUTED_VALUE"""),136.68750000000003)</f>
        <v>136.6875</v>
      </c>
      <c r="G704" s="21">
        <f>IFERROR(__xludf.DUMMYFUNCTION("""COMPUTED_VALUE"""),133.78)</f>
        <v>133.78</v>
      </c>
    </row>
    <row r="705">
      <c r="A705" s="20">
        <f>IFERROR(__xludf.DUMMYFUNCTION("""COMPUTED_VALUE"""),45265.0)</f>
        <v>45265</v>
      </c>
      <c r="B705" s="21">
        <f>IFERROR(__xludf.DUMMYFUNCTION("""COMPUTED_VALUE"""),170.32)</f>
        <v>170.32</v>
      </c>
      <c r="C705" s="22">
        <f>IFERROR(__xludf.DUMMYFUNCTION("""COMPUTED_VALUE"""),145.5)</f>
        <v>145.5</v>
      </c>
      <c r="D705" s="22">
        <f>IFERROR(__xludf.DUMMYFUNCTION("""COMPUTED_VALUE"""),191.85)</f>
        <v>191.85</v>
      </c>
      <c r="E705" s="21">
        <f>IFERROR(__xludf.DUMMYFUNCTION("""COMPUTED_VALUE"""),138.41802109999998)</f>
        <v>138.4180211</v>
      </c>
      <c r="F705" s="21">
        <f>IFERROR(__xludf.DUMMYFUNCTION("""COMPUTED_VALUE"""),135.53500000000003)</f>
        <v>135.535</v>
      </c>
      <c r="G705" s="21">
        <f>IFERROR(__xludf.DUMMYFUNCTION("""COMPUTED_VALUE"""),133.78)</f>
        <v>133.78</v>
      </c>
    </row>
    <row r="706">
      <c r="A706" s="20">
        <f>IFERROR(__xludf.DUMMYFUNCTION("""COMPUTED_VALUE"""),45266.0)</f>
        <v>45266</v>
      </c>
      <c r="B706" s="21">
        <f>IFERROR(__xludf.DUMMYFUNCTION("""COMPUTED_VALUE"""),170.32)</f>
        <v>170.32</v>
      </c>
      <c r="C706" s="22">
        <f>IFERROR(__xludf.DUMMYFUNCTION("""COMPUTED_VALUE"""),145.5)</f>
        <v>145.5</v>
      </c>
      <c r="D706" s="22">
        <f>IFERROR(__xludf.DUMMYFUNCTION("""COMPUTED_VALUE"""),191.85)</f>
        <v>191.85</v>
      </c>
      <c r="E706" s="21">
        <f>IFERROR(__xludf.DUMMYFUNCTION("""COMPUTED_VALUE"""),136.46500144285713)</f>
        <v>136.4650014</v>
      </c>
      <c r="F706" s="21">
        <f>IFERROR(__xludf.DUMMYFUNCTION("""COMPUTED_VALUE"""),134.38250000000002)</f>
        <v>134.3825</v>
      </c>
      <c r="G706" s="21">
        <f>IFERROR(__xludf.DUMMYFUNCTION("""COMPUTED_VALUE"""),133.78)</f>
        <v>133.78</v>
      </c>
    </row>
    <row r="707">
      <c r="A707" s="20">
        <f>IFERROR(__xludf.DUMMYFUNCTION("""COMPUTED_VALUE"""),45267.0)</f>
        <v>45267</v>
      </c>
      <c r="B707" s="21">
        <f>IFERROR(__xludf.DUMMYFUNCTION("""COMPUTED_VALUE"""),170.32)</f>
        <v>170.32</v>
      </c>
      <c r="C707" s="22">
        <f>IFERROR(__xludf.DUMMYFUNCTION("""COMPUTED_VALUE"""),145.5)</f>
        <v>145.5</v>
      </c>
      <c r="D707" s="22">
        <f>IFERROR(__xludf.DUMMYFUNCTION("""COMPUTED_VALUE"""),191.85)</f>
        <v>191.85</v>
      </c>
      <c r="E707" s="21">
        <f>IFERROR(__xludf.DUMMYFUNCTION("""COMPUTED_VALUE"""),131.10795264285713)</f>
        <v>131.1079526</v>
      </c>
      <c r="F707" s="21">
        <f>IFERROR(__xludf.DUMMYFUNCTION("""COMPUTED_VALUE"""),133.23000000000002)</f>
        <v>133.23</v>
      </c>
      <c r="G707" s="21">
        <f>IFERROR(__xludf.DUMMYFUNCTION("""COMPUTED_VALUE"""),133.78)</f>
        <v>133.78</v>
      </c>
    </row>
    <row r="708">
      <c r="A708" s="20">
        <f>IFERROR(__xludf.DUMMYFUNCTION("""COMPUTED_VALUE"""),45268.0)</f>
        <v>45268</v>
      </c>
      <c r="B708" s="21">
        <f>IFERROR(__xludf.DUMMYFUNCTION("""COMPUTED_VALUE"""),170.32)</f>
        <v>170.32</v>
      </c>
      <c r="C708" s="22">
        <f>IFERROR(__xludf.DUMMYFUNCTION("""COMPUTED_VALUE"""),145.5)</f>
        <v>145.5</v>
      </c>
      <c r="D708" s="22">
        <f>IFERROR(__xludf.DUMMYFUNCTION("""COMPUTED_VALUE"""),191.85)</f>
        <v>191.85</v>
      </c>
      <c r="E708" s="21">
        <f>IFERROR(__xludf.DUMMYFUNCTION("""COMPUTED_VALUE"""),126.93455065714285)</f>
        <v>126.9345507</v>
      </c>
      <c r="F708" s="21">
        <f>IFERROR(__xludf.DUMMYFUNCTION("""COMPUTED_VALUE"""),132.07750000000001)</f>
        <v>132.0775</v>
      </c>
      <c r="G708" s="21">
        <f>IFERROR(__xludf.DUMMYFUNCTION("""COMPUTED_VALUE"""),133.78)</f>
        <v>133.78</v>
      </c>
    </row>
    <row r="709">
      <c r="A709" s="20">
        <f>IFERROR(__xludf.DUMMYFUNCTION("""COMPUTED_VALUE"""),45269.0)</f>
        <v>45269</v>
      </c>
      <c r="B709" s="21">
        <f>IFERROR(__xludf.DUMMYFUNCTION("""COMPUTED_VALUE"""),170.32)</f>
        <v>170.32</v>
      </c>
      <c r="C709" s="22">
        <f>IFERROR(__xludf.DUMMYFUNCTION("""COMPUTED_VALUE"""),145.5)</f>
        <v>145.5</v>
      </c>
      <c r="D709" s="22">
        <f>IFERROR(__xludf.DUMMYFUNCTION("""COMPUTED_VALUE"""),191.85)</f>
        <v>191.85</v>
      </c>
      <c r="E709" s="21">
        <f>IFERROR(__xludf.DUMMYFUNCTION("""COMPUTED_VALUE"""),127.54378037142858)</f>
        <v>127.5437804</v>
      </c>
      <c r="F709" s="21">
        <f>IFERROR(__xludf.DUMMYFUNCTION("""COMPUTED_VALUE"""),130.925)</f>
        <v>130.925</v>
      </c>
      <c r="G709" s="21">
        <f>IFERROR(__xludf.DUMMYFUNCTION("""COMPUTED_VALUE"""),133.78)</f>
        <v>133.78</v>
      </c>
    </row>
    <row r="710">
      <c r="A710" s="20">
        <f>IFERROR(__xludf.DUMMYFUNCTION("""COMPUTED_VALUE"""),45270.0)</f>
        <v>45270</v>
      </c>
      <c r="B710" s="21">
        <f>IFERROR(__xludf.DUMMYFUNCTION("""COMPUTED_VALUE"""),170.32)</f>
        <v>170.32</v>
      </c>
      <c r="C710" s="22">
        <f>IFERROR(__xludf.DUMMYFUNCTION("""COMPUTED_VALUE"""),145.5)</f>
        <v>145.5</v>
      </c>
      <c r="D710" s="22">
        <f>IFERROR(__xludf.DUMMYFUNCTION("""COMPUTED_VALUE"""),191.85)</f>
        <v>191.85</v>
      </c>
      <c r="E710" s="21">
        <f>IFERROR(__xludf.DUMMYFUNCTION("""COMPUTED_VALUE"""),125.92774164285713)</f>
        <v>125.9277416</v>
      </c>
      <c r="F710" s="21">
        <f>IFERROR(__xludf.DUMMYFUNCTION("""COMPUTED_VALUE"""),129.7725)</f>
        <v>129.7725</v>
      </c>
      <c r="G710" s="21">
        <f>IFERROR(__xludf.DUMMYFUNCTION("""COMPUTED_VALUE"""),133.78)</f>
        <v>133.78</v>
      </c>
    </row>
    <row r="711">
      <c r="A711" s="24">
        <f>IFERROR(__xludf.DUMMYFUNCTION("""COMPUTED_VALUE"""),45271.0)</f>
        <v>45271</v>
      </c>
      <c r="B711" s="21">
        <f>IFERROR(__xludf.DUMMYFUNCTION("""COMPUTED_VALUE"""),163.61)</f>
        <v>163.61</v>
      </c>
      <c r="C711" s="22">
        <f>IFERROR(__xludf.DUMMYFUNCTION("""COMPUTED_VALUE"""),134.5)</f>
        <v>134.5</v>
      </c>
      <c r="D711" s="22">
        <f>IFERROR(__xludf.DUMMYFUNCTION("""COMPUTED_VALUE"""),182.63)</f>
        <v>182.63</v>
      </c>
      <c r="E711" s="21">
        <f>IFERROR(__xludf.DUMMYFUNCTION("""COMPUTED_VALUE"""),123.63883037142857)</f>
        <v>123.6388304</v>
      </c>
      <c r="F711" s="21">
        <f>IFERROR(__xludf.DUMMYFUNCTION("""COMPUTED_VALUE"""),128.19857142857146)</f>
        <v>128.1985714</v>
      </c>
      <c r="G711" s="21">
        <f>IFERROR(__xludf.DUMMYFUNCTION("""COMPUTED_VALUE"""),133.78)</f>
        <v>133.78</v>
      </c>
    </row>
    <row r="712">
      <c r="A712" s="24">
        <f>IFERROR(__xludf.DUMMYFUNCTION("""COMPUTED_VALUE"""),45272.0)</f>
        <v>45272</v>
      </c>
      <c r="B712" s="21">
        <f>IFERROR(__xludf.DUMMYFUNCTION("""COMPUTED_VALUE"""),163.61)</f>
        <v>163.61</v>
      </c>
      <c r="C712" s="22">
        <f>IFERROR(__xludf.DUMMYFUNCTION("""COMPUTED_VALUE"""),134.5)</f>
        <v>134.5</v>
      </c>
      <c r="D712" s="22">
        <f>IFERROR(__xludf.DUMMYFUNCTION("""COMPUTED_VALUE"""),182.63)</f>
        <v>182.63</v>
      </c>
      <c r="E712" s="21">
        <f>IFERROR(__xludf.DUMMYFUNCTION("""COMPUTED_VALUE"""),121.72451795714287)</f>
        <v>121.724518</v>
      </c>
      <c r="F712" s="21">
        <f>IFERROR(__xludf.DUMMYFUNCTION("""COMPUTED_VALUE"""),126.62464285714286)</f>
        <v>126.6246429</v>
      </c>
      <c r="G712" s="21">
        <f>IFERROR(__xludf.DUMMYFUNCTION("""COMPUTED_VALUE"""),133.78)</f>
        <v>133.78</v>
      </c>
    </row>
    <row r="713">
      <c r="A713" s="24">
        <f>IFERROR(__xludf.DUMMYFUNCTION("""COMPUTED_VALUE"""),45273.0)</f>
        <v>45273</v>
      </c>
      <c r="B713" s="21">
        <f>IFERROR(__xludf.DUMMYFUNCTION("""COMPUTED_VALUE"""),163.61)</f>
        <v>163.61</v>
      </c>
      <c r="C713" s="22">
        <f>IFERROR(__xludf.DUMMYFUNCTION("""COMPUTED_VALUE"""),134.5)</f>
        <v>134.5</v>
      </c>
      <c r="D713" s="22">
        <f>IFERROR(__xludf.DUMMYFUNCTION("""COMPUTED_VALUE"""),182.63)</f>
        <v>182.63</v>
      </c>
      <c r="E713" s="21">
        <f>IFERROR(__xludf.DUMMYFUNCTION("""COMPUTED_VALUE"""),118.51961647142858)</f>
        <v>118.5196165</v>
      </c>
      <c r="F713" s="21">
        <f>IFERROR(__xludf.DUMMYFUNCTION("""COMPUTED_VALUE"""),125.05071428571429)</f>
        <v>125.0507143</v>
      </c>
      <c r="G713" s="21">
        <f>IFERROR(__xludf.DUMMYFUNCTION("""COMPUTED_VALUE"""),133.78)</f>
        <v>133.78</v>
      </c>
    </row>
    <row r="714">
      <c r="A714" s="23">
        <f>IFERROR(__xludf.DUMMYFUNCTION("""COMPUTED_VALUE"""),45274.0)</f>
        <v>45274</v>
      </c>
      <c r="B714" s="21">
        <f>IFERROR(__xludf.DUMMYFUNCTION("""COMPUTED_VALUE"""),163.61)</f>
        <v>163.61</v>
      </c>
      <c r="C714" s="22">
        <f>IFERROR(__xludf.DUMMYFUNCTION("""COMPUTED_VALUE"""),134.5)</f>
        <v>134.5</v>
      </c>
      <c r="D714" s="22">
        <f>IFERROR(__xludf.DUMMYFUNCTION("""COMPUTED_VALUE"""),182.63)</f>
        <v>182.63</v>
      </c>
      <c r="E714" s="21">
        <f>IFERROR(__xludf.DUMMYFUNCTION("""COMPUTED_VALUE"""),118.23133355714286)</f>
        <v>118.2313336</v>
      </c>
      <c r="F714" s="21">
        <f>IFERROR(__xludf.DUMMYFUNCTION("""COMPUTED_VALUE"""),123.47678571428571)</f>
        <v>123.4767857</v>
      </c>
      <c r="G714" s="21">
        <f>IFERROR(__xludf.DUMMYFUNCTION("""COMPUTED_VALUE"""),133.78)</f>
        <v>133.78</v>
      </c>
    </row>
    <row r="715">
      <c r="A715" s="23">
        <f>IFERROR(__xludf.DUMMYFUNCTION("""COMPUTED_VALUE"""),45275.0)</f>
        <v>45275</v>
      </c>
      <c r="B715" s="21">
        <f>IFERROR(__xludf.DUMMYFUNCTION("""COMPUTED_VALUE"""),163.61)</f>
        <v>163.61</v>
      </c>
      <c r="C715" s="22">
        <f>IFERROR(__xludf.DUMMYFUNCTION("""COMPUTED_VALUE"""),134.5)</f>
        <v>134.5</v>
      </c>
      <c r="D715" s="22">
        <f>IFERROR(__xludf.DUMMYFUNCTION("""COMPUTED_VALUE"""),182.63)</f>
        <v>182.63</v>
      </c>
      <c r="E715" s="21">
        <f>IFERROR(__xludf.DUMMYFUNCTION("""COMPUTED_VALUE"""),116.46470594285714)</f>
        <v>116.4647059</v>
      </c>
      <c r="F715" s="21">
        <f>IFERROR(__xludf.DUMMYFUNCTION("""COMPUTED_VALUE"""),121.90285714285713)</f>
        <v>121.9028571</v>
      </c>
      <c r="G715" s="21">
        <f>IFERROR(__xludf.DUMMYFUNCTION("""COMPUTED_VALUE"""),133.78)</f>
        <v>133.78</v>
      </c>
    </row>
    <row r="716">
      <c r="A716" s="23">
        <f>IFERROR(__xludf.DUMMYFUNCTION("""COMPUTED_VALUE"""),45276.0)</f>
        <v>45276</v>
      </c>
      <c r="B716" s="21">
        <f>IFERROR(__xludf.DUMMYFUNCTION("""COMPUTED_VALUE"""),163.61)</f>
        <v>163.61</v>
      </c>
      <c r="C716" s="22">
        <f>IFERROR(__xludf.DUMMYFUNCTION("""COMPUTED_VALUE"""),134.5)</f>
        <v>134.5</v>
      </c>
      <c r="D716" s="22">
        <f>IFERROR(__xludf.DUMMYFUNCTION("""COMPUTED_VALUE"""),182.63)</f>
        <v>182.63</v>
      </c>
      <c r="E716" s="21">
        <f>IFERROR(__xludf.DUMMYFUNCTION("""COMPUTED_VALUE"""),112.16642621714286)</f>
        <v>112.1664262</v>
      </c>
      <c r="F716" s="21">
        <f>IFERROR(__xludf.DUMMYFUNCTION("""COMPUTED_VALUE"""),120.32892857142858)</f>
        <v>120.3289286</v>
      </c>
      <c r="G716" s="21">
        <f>IFERROR(__xludf.DUMMYFUNCTION("""COMPUTED_VALUE"""),133.78)</f>
        <v>133.78</v>
      </c>
    </row>
    <row r="717">
      <c r="A717" s="23">
        <f>IFERROR(__xludf.DUMMYFUNCTION("""COMPUTED_VALUE"""),45277.0)</f>
        <v>45277</v>
      </c>
      <c r="B717" s="21">
        <f>IFERROR(__xludf.DUMMYFUNCTION("""COMPUTED_VALUE"""),163.61)</f>
        <v>163.61</v>
      </c>
      <c r="C717" s="22">
        <f>IFERROR(__xludf.DUMMYFUNCTION("""COMPUTED_VALUE"""),134.5)</f>
        <v>134.5</v>
      </c>
      <c r="D717" s="22">
        <f>IFERROR(__xludf.DUMMYFUNCTION("""COMPUTED_VALUE"""),182.63)</f>
        <v>182.63</v>
      </c>
      <c r="E717" s="21">
        <f>IFERROR(__xludf.DUMMYFUNCTION("""COMPUTED_VALUE"""),112.55294526)</f>
        <v>112.5529453</v>
      </c>
      <c r="F717" s="21">
        <f>IFERROR(__xludf.DUMMYFUNCTION("""COMPUTED_VALUE"""),118.755)</f>
        <v>118.755</v>
      </c>
      <c r="G717" s="21">
        <f>IFERROR(__xludf.DUMMYFUNCTION("""COMPUTED_VALUE"""),133.78)</f>
        <v>133.78</v>
      </c>
    </row>
    <row r="718">
      <c r="A718" s="23">
        <f>IFERROR(__xludf.DUMMYFUNCTION("""COMPUTED_VALUE"""),45278.0)</f>
        <v>45278</v>
      </c>
      <c r="B718" s="21">
        <f>IFERROR(__xludf.DUMMYFUNCTION("""COMPUTED_VALUE"""),163.61)</f>
        <v>163.61</v>
      </c>
      <c r="C718" s="22">
        <f>IFERROR(__xludf.DUMMYFUNCTION("""COMPUTED_VALUE"""),134.5)</f>
        <v>134.5</v>
      </c>
      <c r="D718" s="22">
        <f>IFERROR(__xludf.DUMMYFUNCTION("""COMPUTED_VALUE"""),182.63)</f>
        <v>182.63</v>
      </c>
      <c r="E718" s="21">
        <f>IFERROR(__xludf.DUMMYFUNCTION("""COMPUTED_VALUE"""),110.70570964571428)</f>
        <v>110.7057096</v>
      </c>
      <c r="F718" s="21">
        <f>IFERROR(__xludf.DUMMYFUNCTION("""COMPUTED_VALUE"""),117.35440475714286)</f>
        <v>117.3544048</v>
      </c>
      <c r="G718" s="21">
        <f>IFERROR(__xludf.DUMMYFUNCTION("""COMPUTED_VALUE"""),133.78)</f>
        <v>133.78</v>
      </c>
    </row>
    <row r="719">
      <c r="A719" s="23">
        <f>IFERROR(__xludf.DUMMYFUNCTION("""COMPUTED_VALUE"""),45279.0)</f>
        <v>45279</v>
      </c>
      <c r="B719" s="21">
        <f>IFERROR(__xludf.DUMMYFUNCTION("""COMPUTED_VALUE"""),163.61)</f>
        <v>163.61</v>
      </c>
      <c r="C719" s="22">
        <f>IFERROR(__xludf.DUMMYFUNCTION("""COMPUTED_VALUE"""),134.5)</f>
        <v>134.5</v>
      </c>
      <c r="D719" s="22">
        <f>IFERROR(__xludf.DUMMYFUNCTION("""COMPUTED_VALUE"""),182.63)</f>
        <v>182.63</v>
      </c>
      <c r="E719" s="21">
        <f>IFERROR(__xludf.DUMMYFUNCTION("""COMPUTED_VALUE"""),108.82216651714285)</f>
        <v>108.8221665</v>
      </c>
      <c r="F719" s="21">
        <f>IFERROR(__xludf.DUMMYFUNCTION("""COMPUTED_VALUE"""),115.95380951428571)</f>
        <v>115.9538095</v>
      </c>
      <c r="G719" s="21">
        <f>IFERROR(__xludf.DUMMYFUNCTION("""COMPUTED_VALUE"""),133.78)</f>
        <v>133.78</v>
      </c>
    </row>
    <row r="720">
      <c r="A720" s="23">
        <f>IFERROR(__xludf.DUMMYFUNCTION("""COMPUTED_VALUE"""),45280.0)</f>
        <v>45280</v>
      </c>
      <c r="B720" s="21">
        <f>IFERROR(__xludf.DUMMYFUNCTION("""COMPUTED_VALUE"""),163.61)</f>
        <v>163.61</v>
      </c>
      <c r="C720" s="22">
        <f>IFERROR(__xludf.DUMMYFUNCTION("""COMPUTED_VALUE"""),134.5)</f>
        <v>134.5</v>
      </c>
      <c r="D720" s="22">
        <f>IFERROR(__xludf.DUMMYFUNCTION("""COMPUTED_VALUE"""),182.63)</f>
        <v>182.63</v>
      </c>
      <c r="E720" s="21">
        <f>IFERROR(__xludf.DUMMYFUNCTION("""COMPUTED_VALUE"""),110.31557983142856)</f>
        <v>110.3155798</v>
      </c>
      <c r="F720" s="21">
        <f>IFERROR(__xludf.DUMMYFUNCTION("""COMPUTED_VALUE"""),114.55321427142857)</f>
        <v>114.5532143</v>
      </c>
      <c r="G720" s="21">
        <f>IFERROR(__xludf.DUMMYFUNCTION("""COMPUTED_VALUE"""),133.78)</f>
        <v>133.78</v>
      </c>
    </row>
    <row r="721">
      <c r="A721" s="23">
        <f>IFERROR(__xludf.DUMMYFUNCTION("""COMPUTED_VALUE"""),45281.0)</f>
        <v>45281</v>
      </c>
      <c r="B721" s="21">
        <f>IFERROR(__xludf.DUMMYFUNCTION("""COMPUTED_VALUE"""),163.61)</f>
        <v>163.61</v>
      </c>
      <c r="C721" s="22">
        <f>IFERROR(__xludf.DUMMYFUNCTION("""COMPUTED_VALUE"""),134.5)</f>
        <v>134.5</v>
      </c>
      <c r="D721" s="22">
        <f>IFERROR(__xludf.DUMMYFUNCTION("""COMPUTED_VALUE"""),182.63)</f>
        <v>182.63</v>
      </c>
      <c r="E721" s="21">
        <f>IFERROR(__xludf.DUMMYFUNCTION("""COMPUTED_VALUE"""),108.16217823142857)</f>
        <v>108.1621782</v>
      </c>
      <c r="F721" s="21">
        <f>IFERROR(__xludf.DUMMYFUNCTION("""COMPUTED_VALUE"""),113.15257141428572)</f>
        <v>113.1525714</v>
      </c>
      <c r="G721" s="21">
        <f>IFERROR(__xludf.DUMMYFUNCTION("""COMPUTED_VALUE"""),133.78)</f>
        <v>133.78</v>
      </c>
    </row>
    <row r="722">
      <c r="A722" s="23">
        <f>IFERROR(__xludf.DUMMYFUNCTION("""COMPUTED_VALUE"""),45282.0)</f>
        <v>45282</v>
      </c>
      <c r="B722" s="21">
        <f>IFERROR(__xludf.DUMMYFUNCTION("""COMPUTED_VALUE"""),163.61)</f>
        <v>163.61</v>
      </c>
      <c r="C722" s="22">
        <f>IFERROR(__xludf.DUMMYFUNCTION("""COMPUTED_VALUE"""),134.5)</f>
        <v>134.5</v>
      </c>
      <c r="D722" s="22">
        <f>IFERROR(__xludf.DUMMYFUNCTION("""COMPUTED_VALUE"""),182.63)</f>
        <v>182.63</v>
      </c>
      <c r="E722" s="21">
        <f>IFERROR(__xludf.DUMMYFUNCTION("""COMPUTED_VALUE"""),107.79458097428572)</f>
        <v>107.794581</v>
      </c>
      <c r="F722" s="21">
        <f>IFERROR(__xludf.DUMMYFUNCTION("""COMPUTED_VALUE"""),111.75192855714286)</f>
        <v>111.7519286</v>
      </c>
      <c r="G722" s="21">
        <f>IFERROR(__xludf.DUMMYFUNCTION("""COMPUTED_VALUE"""),133.78)</f>
        <v>133.78</v>
      </c>
    </row>
    <row r="723">
      <c r="A723" s="23">
        <f>IFERROR(__xludf.DUMMYFUNCTION("""COMPUTED_VALUE"""),45283.0)</f>
        <v>45283</v>
      </c>
      <c r="B723" s="21">
        <f>IFERROR(__xludf.DUMMYFUNCTION("""COMPUTED_VALUE"""),163.61)</f>
        <v>163.61</v>
      </c>
      <c r="C723" s="22">
        <f>IFERROR(__xludf.DUMMYFUNCTION("""COMPUTED_VALUE"""),134.5)</f>
        <v>134.5</v>
      </c>
      <c r="D723" s="22">
        <f>IFERROR(__xludf.DUMMYFUNCTION("""COMPUTED_VALUE"""),182.63)</f>
        <v>182.63</v>
      </c>
      <c r="E723" s="21">
        <f>IFERROR(__xludf.DUMMYFUNCTION("""COMPUTED_VALUE"""),109.43101451428572)</f>
        <v>109.4310145</v>
      </c>
      <c r="F723" s="21">
        <f>IFERROR(__xludf.DUMMYFUNCTION("""COMPUTED_VALUE"""),110.35128570000002)</f>
        <v>110.3512857</v>
      </c>
      <c r="G723" s="21">
        <f>IFERROR(__xludf.DUMMYFUNCTION("""COMPUTED_VALUE"""),133.78)</f>
        <v>133.78</v>
      </c>
    </row>
    <row r="724">
      <c r="A724" s="23">
        <f>IFERROR(__xludf.DUMMYFUNCTION("""COMPUTED_VALUE"""),45284.0)</f>
        <v>45284</v>
      </c>
      <c r="B724" s="21">
        <f>IFERROR(__xludf.DUMMYFUNCTION("""COMPUTED_VALUE"""),163.61)</f>
        <v>163.61</v>
      </c>
      <c r="C724" s="22">
        <f>IFERROR(__xludf.DUMMYFUNCTION("""COMPUTED_VALUE"""),134.5)</f>
        <v>134.5</v>
      </c>
      <c r="D724" s="22">
        <f>IFERROR(__xludf.DUMMYFUNCTION("""COMPUTED_VALUE"""),182.63)</f>
        <v>182.63</v>
      </c>
      <c r="E724" s="21">
        <f>IFERROR(__xludf.DUMMYFUNCTION("""COMPUTED_VALUE"""),111.09679694285715)</f>
        <v>111.0967969</v>
      </c>
      <c r="F724" s="21">
        <f>IFERROR(__xludf.DUMMYFUNCTION("""COMPUTED_VALUE"""),108.95064284285716)</f>
        <v>108.9506428</v>
      </c>
      <c r="G724" s="21">
        <f>IFERROR(__xludf.DUMMYFUNCTION("""COMPUTED_VALUE"""),133.78)</f>
        <v>133.78</v>
      </c>
    </row>
    <row r="725">
      <c r="A725" s="23">
        <f>IFERROR(__xludf.DUMMYFUNCTION("""COMPUTED_VALUE"""),45285.0)</f>
        <v>45285</v>
      </c>
      <c r="B725" s="21">
        <f>IFERROR(__xludf.DUMMYFUNCTION("""COMPUTED_VALUE"""),163.61)</f>
        <v>163.61</v>
      </c>
      <c r="C725" s="22">
        <f>IFERROR(__xludf.DUMMYFUNCTION("""COMPUTED_VALUE"""),134.5)</f>
        <v>134.5</v>
      </c>
      <c r="D725" s="22">
        <f>IFERROR(__xludf.DUMMYFUNCTION("""COMPUTED_VALUE"""),182.63)</f>
        <v>182.63</v>
      </c>
      <c r="E725" s="21">
        <f>IFERROR(__xludf.DUMMYFUNCTION("""COMPUTED_VALUE"""),112.04902362857145)</f>
        <v>112.0490236</v>
      </c>
      <c r="F725" s="21">
        <f>IFERROR(__xludf.DUMMYFUNCTION("""COMPUTED_VALUE"""),109.28564284285717)</f>
        <v>109.2856428</v>
      </c>
      <c r="G725" s="21">
        <f>IFERROR(__xludf.DUMMYFUNCTION("""COMPUTED_VALUE"""),133.78)</f>
        <v>133.78</v>
      </c>
    </row>
    <row r="726">
      <c r="A726" s="23">
        <f>IFERROR(__xludf.DUMMYFUNCTION("""COMPUTED_VALUE"""),45286.0)</f>
        <v>45286</v>
      </c>
      <c r="B726" s="21">
        <f>IFERROR(__xludf.DUMMYFUNCTION("""COMPUTED_VALUE"""),163.61)</f>
        <v>163.61</v>
      </c>
      <c r="C726" s="22">
        <f>IFERROR(__xludf.DUMMYFUNCTION("""COMPUTED_VALUE"""),134.5)</f>
        <v>134.5</v>
      </c>
      <c r="D726" s="22">
        <f>IFERROR(__xludf.DUMMYFUNCTION("""COMPUTED_VALUE"""),182.63)</f>
        <v>182.63</v>
      </c>
      <c r="E726" s="21">
        <f>IFERROR(__xludf.DUMMYFUNCTION("""COMPUTED_VALUE"""),113.2992241857143)</f>
        <v>113.2992242</v>
      </c>
      <c r="F726" s="21">
        <f>IFERROR(__xludf.DUMMYFUNCTION("""COMPUTED_VALUE"""),109.62064284285715)</f>
        <v>109.6206428</v>
      </c>
      <c r="G726" s="21">
        <f>IFERROR(__xludf.DUMMYFUNCTION("""COMPUTED_VALUE"""),133.78)</f>
        <v>133.78</v>
      </c>
    </row>
    <row r="727">
      <c r="A727" s="23">
        <f>IFERROR(__xludf.DUMMYFUNCTION("""COMPUTED_VALUE"""),45287.0)</f>
        <v>45287</v>
      </c>
      <c r="B727" s="21">
        <f>IFERROR(__xludf.DUMMYFUNCTION("""COMPUTED_VALUE"""),163.61)</f>
        <v>163.61</v>
      </c>
      <c r="C727" s="22">
        <f>IFERROR(__xludf.DUMMYFUNCTION("""COMPUTED_VALUE"""),134.5)</f>
        <v>134.5</v>
      </c>
      <c r="D727" s="22">
        <f>IFERROR(__xludf.DUMMYFUNCTION("""COMPUTED_VALUE"""),182.63)</f>
        <v>182.63</v>
      </c>
      <c r="E727" s="21">
        <f>IFERROR(__xludf.DUMMYFUNCTION("""COMPUTED_VALUE"""),115.25477815714285)</f>
        <v>115.2547782</v>
      </c>
      <c r="F727" s="21">
        <f>IFERROR(__xludf.DUMMYFUNCTION("""COMPUTED_VALUE"""),109.95564284285716)</f>
        <v>109.9556428</v>
      </c>
      <c r="G727" s="21">
        <f>IFERROR(__xludf.DUMMYFUNCTION("""COMPUTED_VALUE"""),133.78)</f>
        <v>133.78</v>
      </c>
    </row>
    <row r="728">
      <c r="A728" s="23">
        <f>IFERROR(__xludf.DUMMYFUNCTION("""COMPUTED_VALUE"""),45288.0)</f>
        <v>45288</v>
      </c>
      <c r="B728" s="21">
        <f>IFERROR(__xludf.DUMMYFUNCTION("""COMPUTED_VALUE"""),163.61)</f>
        <v>163.61</v>
      </c>
      <c r="C728" s="22">
        <f>IFERROR(__xludf.DUMMYFUNCTION("""COMPUTED_VALUE"""),134.5)</f>
        <v>134.5</v>
      </c>
      <c r="D728" s="22">
        <f>IFERROR(__xludf.DUMMYFUNCTION("""COMPUTED_VALUE"""),182.63)</f>
        <v>182.63</v>
      </c>
      <c r="E728" s="21">
        <f>IFERROR(__xludf.DUMMYFUNCTION("""COMPUTED_VALUE"""),114.59678097142856)</f>
        <v>114.596781</v>
      </c>
      <c r="F728" s="21">
        <f>IFERROR(__xludf.DUMMYFUNCTION("""COMPUTED_VALUE"""),110.29069045714287)</f>
        <v>110.2906905</v>
      </c>
      <c r="G728" s="21">
        <f>IFERROR(__xludf.DUMMYFUNCTION("""COMPUTED_VALUE"""),133.78)</f>
        <v>133.78</v>
      </c>
    </row>
    <row r="729">
      <c r="A729" s="23">
        <f>IFERROR(__xludf.DUMMYFUNCTION("""COMPUTED_VALUE"""),45289.0)</f>
        <v>45289</v>
      </c>
      <c r="B729" s="21">
        <f>IFERROR(__xludf.DUMMYFUNCTION("""COMPUTED_VALUE"""),163.61)</f>
        <v>163.61</v>
      </c>
      <c r="C729" s="22">
        <f>IFERROR(__xludf.DUMMYFUNCTION("""COMPUTED_VALUE"""),134.5)</f>
        <v>134.5</v>
      </c>
      <c r="D729" s="22">
        <f>IFERROR(__xludf.DUMMYFUNCTION("""COMPUTED_VALUE"""),182.63)</f>
        <v>182.63</v>
      </c>
      <c r="E729" s="21">
        <f>IFERROR(__xludf.DUMMYFUNCTION("""COMPUTED_VALUE"""),117.13563138571429)</f>
        <v>117.1356314</v>
      </c>
      <c r="F729" s="21">
        <f>IFERROR(__xludf.DUMMYFUNCTION("""COMPUTED_VALUE"""),110.62573807142859)</f>
        <v>110.6257381</v>
      </c>
      <c r="G729" s="21">
        <f>IFERROR(__xludf.DUMMYFUNCTION("""COMPUTED_VALUE"""),133.78)</f>
        <v>133.78</v>
      </c>
    </row>
    <row r="730">
      <c r="A730" s="23">
        <f>IFERROR(__xludf.DUMMYFUNCTION("""COMPUTED_VALUE"""),45290.0)</f>
        <v>45290</v>
      </c>
      <c r="B730" s="21">
        <f>IFERROR(__xludf.DUMMYFUNCTION("""COMPUTED_VALUE"""),163.61)</f>
        <v>163.61</v>
      </c>
      <c r="C730" s="22">
        <f>IFERROR(__xludf.DUMMYFUNCTION("""COMPUTED_VALUE"""),134.5)</f>
        <v>134.5</v>
      </c>
      <c r="D730" s="22">
        <f>IFERROR(__xludf.DUMMYFUNCTION("""COMPUTED_VALUE"""),182.63)</f>
        <v>182.63</v>
      </c>
      <c r="E730" s="21">
        <f>IFERROR(__xludf.DUMMYFUNCTION("""COMPUTED_VALUE"""),118.61726197142856)</f>
        <v>118.617262</v>
      </c>
      <c r="F730" s="21">
        <f>IFERROR(__xludf.DUMMYFUNCTION("""COMPUTED_VALUE"""),110.9607856857143)</f>
        <v>110.9607857</v>
      </c>
      <c r="G730" s="21">
        <f>IFERROR(__xludf.DUMMYFUNCTION("""COMPUTED_VALUE"""),133.78)</f>
        <v>133.78</v>
      </c>
    </row>
    <row r="731">
      <c r="A731" s="23">
        <f>IFERROR(__xludf.DUMMYFUNCTION("""COMPUTED_VALUE"""),45291.0)</f>
        <v>45291</v>
      </c>
      <c r="B731" s="21">
        <f>IFERROR(__xludf.DUMMYFUNCTION("""COMPUTED_VALUE"""),163.61)</f>
        <v>163.61</v>
      </c>
      <c r="C731" s="22">
        <f>IFERROR(__xludf.DUMMYFUNCTION("""COMPUTED_VALUE"""),134.5)</f>
        <v>134.5</v>
      </c>
      <c r="D731" s="22">
        <f>IFERROR(__xludf.DUMMYFUNCTION("""COMPUTED_VALUE"""),182.63)</f>
        <v>182.63</v>
      </c>
      <c r="E731" s="21">
        <f>IFERROR(__xludf.DUMMYFUNCTION("""COMPUTED_VALUE"""),117.91959011428571)</f>
        <v>117.9195901</v>
      </c>
      <c r="F731" s="21">
        <f>IFERROR(__xludf.DUMMYFUNCTION("""COMPUTED_VALUE"""),111.29583330000001)</f>
        <v>111.2958333</v>
      </c>
      <c r="G731" s="21">
        <f>IFERROR(__xludf.DUMMYFUNCTION("""COMPUTED_VALUE"""),133.78)</f>
        <v>133.78</v>
      </c>
    </row>
    <row r="732">
      <c r="A732" s="23">
        <f>IFERROR(__xludf.DUMMYFUNCTION("""COMPUTED_VALUE"""),45292.0)</f>
        <v>45292</v>
      </c>
      <c r="B732" s="21">
        <f>IFERROR(__xludf.DUMMYFUNCTION("""COMPUTED_VALUE"""),163.61)</f>
        <v>163.61</v>
      </c>
      <c r="C732" s="22">
        <f>IFERROR(__xludf.DUMMYFUNCTION("""COMPUTED_VALUE"""),134.5)</f>
        <v>134.5</v>
      </c>
      <c r="D732" s="22">
        <f>IFERROR(__xludf.DUMMYFUNCTION("""COMPUTED_VALUE"""),182.63)</f>
        <v>182.63</v>
      </c>
      <c r="E732" s="21">
        <f>IFERROR(__xludf.DUMMYFUNCTION("""COMPUTED_VALUE"""),116.43457177142857)</f>
        <v>116.4345718</v>
      </c>
      <c r="F732" s="21">
        <f>IFERROR(__xludf.DUMMYFUNCTION("""COMPUTED_VALUE"""),111.51035711428572)</f>
        <v>111.5103571</v>
      </c>
      <c r="G732" s="21">
        <f>IFERROR(__xludf.DUMMYFUNCTION("""COMPUTED_VALUE"""),92.889)</f>
        <v>92.889</v>
      </c>
    </row>
    <row r="733">
      <c r="A733" s="20">
        <f>IFERROR(__xludf.DUMMYFUNCTION("""COMPUTED_VALUE"""),45293.0)</f>
        <v>45293</v>
      </c>
      <c r="B733" s="21">
        <f>IFERROR(__xludf.DUMMYFUNCTION("""COMPUTED_VALUE"""),163.61)</f>
        <v>163.61</v>
      </c>
      <c r="C733" s="22">
        <f>IFERROR(__xludf.DUMMYFUNCTION("""COMPUTED_VALUE"""),134.5)</f>
        <v>134.5</v>
      </c>
      <c r="D733" s="22">
        <f>IFERROR(__xludf.DUMMYFUNCTION("""COMPUTED_VALUE"""),182.63)</f>
        <v>182.63</v>
      </c>
      <c r="E733" s="21">
        <f>IFERROR(__xludf.DUMMYFUNCTION("""COMPUTED_VALUE"""),115.07785951428572)</f>
        <v>115.0778595</v>
      </c>
      <c r="F733" s="21">
        <f>IFERROR(__xludf.DUMMYFUNCTION("""COMPUTED_VALUE"""),111.72488092857144)</f>
        <v>111.7248809</v>
      </c>
      <c r="G733" s="21">
        <f>IFERROR(__xludf.DUMMYFUNCTION("""COMPUTED_VALUE"""),92.889)</f>
        <v>92.889</v>
      </c>
    </row>
    <row r="734">
      <c r="A734" s="20">
        <f>IFERROR(__xludf.DUMMYFUNCTION("""COMPUTED_VALUE"""),45294.0)</f>
        <v>45294</v>
      </c>
      <c r="B734" s="21">
        <f>IFERROR(__xludf.DUMMYFUNCTION("""COMPUTED_VALUE"""),163.61)</f>
        <v>163.61</v>
      </c>
      <c r="C734" s="22">
        <f>IFERROR(__xludf.DUMMYFUNCTION("""COMPUTED_VALUE"""),134.5)</f>
        <v>134.5</v>
      </c>
      <c r="D734" s="22">
        <f>IFERROR(__xludf.DUMMYFUNCTION("""COMPUTED_VALUE"""),182.63)</f>
        <v>182.63</v>
      </c>
      <c r="E734" s="21">
        <f>IFERROR(__xludf.DUMMYFUNCTION("""COMPUTED_VALUE"""),109.41976096428571)</f>
        <v>109.419761</v>
      </c>
      <c r="F734" s="21">
        <f>IFERROR(__xludf.DUMMYFUNCTION("""COMPUTED_VALUE"""),111.93940474285715)</f>
        <v>111.9394047</v>
      </c>
      <c r="G734" s="21">
        <f>IFERROR(__xludf.DUMMYFUNCTION("""COMPUTED_VALUE"""),92.889)</f>
        <v>92.889</v>
      </c>
    </row>
    <row r="735">
      <c r="A735" s="20">
        <f>IFERROR(__xludf.DUMMYFUNCTION("""COMPUTED_VALUE"""),45295.0)</f>
        <v>45295</v>
      </c>
      <c r="B735" s="21">
        <f>IFERROR(__xludf.DUMMYFUNCTION("""COMPUTED_VALUE"""),163.61)</f>
        <v>163.61</v>
      </c>
      <c r="C735" s="22">
        <f>IFERROR(__xludf.DUMMYFUNCTION("""COMPUTED_VALUE"""),134.5)</f>
        <v>134.5</v>
      </c>
      <c r="D735" s="22">
        <f>IFERROR(__xludf.DUMMYFUNCTION("""COMPUTED_VALUE"""),182.63)</f>
        <v>182.63</v>
      </c>
      <c r="E735" s="21">
        <f>IFERROR(__xludf.DUMMYFUNCTION("""COMPUTED_VALUE"""),108.27369902285714)</f>
        <v>108.273699</v>
      </c>
      <c r="F735" s="21">
        <f>IFERROR(__xludf.DUMMYFUNCTION("""COMPUTED_VALUE"""),112.15392855714286)</f>
        <v>112.1539286</v>
      </c>
      <c r="G735" s="21">
        <f>IFERROR(__xludf.DUMMYFUNCTION("""COMPUTED_VALUE"""),92.889)</f>
        <v>92.889</v>
      </c>
    </row>
    <row r="736">
      <c r="A736" s="20">
        <f>IFERROR(__xludf.DUMMYFUNCTION("""COMPUTED_VALUE"""),45296.0)</f>
        <v>45296</v>
      </c>
      <c r="B736" s="21">
        <f>IFERROR(__xludf.DUMMYFUNCTION("""COMPUTED_VALUE"""),163.61)</f>
        <v>163.61</v>
      </c>
      <c r="C736" s="22">
        <f>IFERROR(__xludf.DUMMYFUNCTION("""COMPUTED_VALUE"""),134.5)</f>
        <v>134.5</v>
      </c>
      <c r="D736" s="22">
        <f>IFERROR(__xludf.DUMMYFUNCTION("""COMPUTED_VALUE"""),182.63)</f>
        <v>182.63</v>
      </c>
      <c r="E736" s="21">
        <f>IFERROR(__xludf.DUMMYFUNCTION("""COMPUTED_VALUE"""),105.89463708000001)</f>
        <v>105.8946371</v>
      </c>
      <c r="F736" s="21">
        <f>IFERROR(__xludf.DUMMYFUNCTION("""COMPUTED_VALUE"""),112.36845237142857)</f>
        <v>112.3684524</v>
      </c>
      <c r="G736" s="21">
        <f>IFERROR(__xludf.DUMMYFUNCTION("""COMPUTED_VALUE"""),92.889)</f>
        <v>92.889</v>
      </c>
    </row>
    <row r="737">
      <c r="A737" s="20">
        <f>IFERROR(__xludf.DUMMYFUNCTION("""COMPUTED_VALUE"""),45297.0)</f>
        <v>45297</v>
      </c>
      <c r="B737" s="21">
        <f>IFERROR(__xludf.DUMMYFUNCTION("""COMPUTED_VALUE"""),163.61)</f>
        <v>163.61</v>
      </c>
      <c r="C737" s="22">
        <f>IFERROR(__xludf.DUMMYFUNCTION("""COMPUTED_VALUE"""),134.5)</f>
        <v>134.5</v>
      </c>
      <c r="D737" s="22">
        <f>IFERROR(__xludf.DUMMYFUNCTION("""COMPUTED_VALUE"""),182.63)</f>
        <v>182.63</v>
      </c>
      <c r="E737" s="21">
        <f>IFERROR(__xludf.DUMMYFUNCTION("""COMPUTED_VALUE"""),104.37261829428573)</f>
        <v>104.3726183</v>
      </c>
      <c r="F737" s="21">
        <f>IFERROR(__xludf.DUMMYFUNCTION("""COMPUTED_VALUE"""),112.58297618571429)</f>
        <v>112.5829762</v>
      </c>
      <c r="G737" s="21">
        <f>IFERROR(__xludf.DUMMYFUNCTION("""COMPUTED_VALUE"""),92.889)</f>
        <v>92.889</v>
      </c>
    </row>
    <row r="738">
      <c r="A738" s="20">
        <f>IFERROR(__xludf.DUMMYFUNCTION("""COMPUTED_VALUE"""),45298.0)</f>
        <v>45298</v>
      </c>
      <c r="B738" s="21">
        <f>IFERROR(__xludf.DUMMYFUNCTION("""COMPUTED_VALUE"""),163.61)</f>
        <v>163.61</v>
      </c>
      <c r="C738" s="22">
        <f>IFERROR(__xludf.DUMMYFUNCTION("""COMPUTED_VALUE"""),134.5)</f>
        <v>134.5</v>
      </c>
      <c r="D738" s="22">
        <f>IFERROR(__xludf.DUMMYFUNCTION("""COMPUTED_VALUE"""),182.63)</f>
        <v>182.63</v>
      </c>
      <c r="E738" s="21">
        <f>IFERROR(__xludf.DUMMYFUNCTION("""COMPUTED_VALUE"""),102.16368040857142)</f>
        <v>102.1636804</v>
      </c>
      <c r="F738" s="21">
        <f>IFERROR(__xludf.DUMMYFUNCTION("""COMPUTED_VALUE"""),112.7975)</f>
        <v>112.7975</v>
      </c>
      <c r="G738" s="21">
        <f>IFERROR(__xludf.DUMMYFUNCTION("""COMPUTED_VALUE"""),92.889)</f>
        <v>92.889</v>
      </c>
    </row>
    <row r="739">
      <c r="A739" s="20">
        <f>IFERROR(__xludf.DUMMYFUNCTION("""COMPUTED_VALUE"""),45299.0)</f>
        <v>45299</v>
      </c>
      <c r="B739" s="21">
        <f>IFERROR(__xludf.DUMMYFUNCTION("""COMPUTED_VALUE"""),143.97)</f>
        <v>143.97</v>
      </c>
      <c r="C739" s="22">
        <f>IFERROR(__xludf.DUMMYFUNCTION("""COMPUTED_VALUE"""),119.4)</f>
        <v>119.4</v>
      </c>
      <c r="D739" s="22">
        <f>IFERROR(__xludf.DUMMYFUNCTION("""COMPUTED_VALUE"""),170.6)</f>
        <v>170.6</v>
      </c>
      <c r="E739" s="21">
        <f>IFERROR(__xludf.DUMMYFUNCTION("""COMPUTED_VALUE"""),102.76049939428572)</f>
        <v>102.7604994</v>
      </c>
      <c r="F739" s="21">
        <f>IFERROR(__xludf.DUMMYFUNCTION("""COMPUTED_VALUE"""),112.7975)</f>
        <v>112.7975</v>
      </c>
      <c r="G739" s="21">
        <f>IFERROR(__xludf.DUMMYFUNCTION("""COMPUTED_VALUE"""),92.889)</f>
        <v>92.889</v>
      </c>
    </row>
    <row r="740">
      <c r="A740" s="20">
        <f>IFERROR(__xludf.DUMMYFUNCTION("""COMPUTED_VALUE"""),45300.0)</f>
        <v>45300</v>
      </c>
      <c r="B740" s="21">
        <f>IFERROR(__xludf.DUMMYFUNCTION("""COMPUTED_VALUE"""),143.97)</f>
        <v>143.97</v>
      </c>
      <c r="C740" s="22">
        <f>IFERROR(__xludf.DUMMYFUNCTION("""COMPUTED_VALUE"""),119.4)</f>
        <v>119.4</v>
      </c>
      <c r="D740" s="22">
        <f>IFERROR(__xludf.DUMMYFUNCTION("""COMPUTED_VALUE"""),170.6)</f>
        <v>170.6</v>
      </c>
      <c r="E740" s="21">
        <f>IFERROR(__xludf.DUMMYFUNCTION("""COMPUTED_VALUE"""),103.03699798)</f>
        <v>103.036998</v>
      </c>
      <c r="F740" s="21">
        <f>IFERROR(__xludf.DUMMYFUNCTION("""COMPUTED_VALUE"""),112.7975)</f>
        <v>112.7975</v>
      </c>
      <c r="G740" s="21">
        <f>IFERROR(__xludf.DUMMYFUNCTION("""COMPUTED_VALUE"""),92.889)</f>
        <v>92.889</v>
      </c>
    </row>
    <row r="741">
      <c r="A741" s="20">
        <f>IFERROR(__xludf.DUMMYFUNCTION("""COMPUTED_VALUE"""),45301.0)</f>
        <v>45301</v>
      </c>
      <c r="B741" s="21">
        <f>IFERROR(__xludf.DUMMYFUNCTION("""COMPUTED_VALUE"""),143.97)</f>
        <v>143.97</v>
      </c>
      <c r="C741" s="22">
        <f>IFERROR(__xludf.DUMMYFUNCTION("""COMPUTED_VALUE"""),119.4)</f>
        <v>119.4</v>
      </c>
      <c r="D741" s="22">
        <f>IFERROR(__xludf.DUMMYFUNCTION("""COMPUTED_VALUE"""),170.6)</f>
        <v>170.6</v>
      </c>
      <c r="E741" s="21">
        <f>IFERROR(__xludf.DUMMYFUNCTION("""COMPUTED_VALUE"""),105.64262181571428)</f>
        <v>105.6426218</v>
      </c>
      <c r="F741" s="21">
        <f>IFERROR(__xludf.DUMMYFUNCTION("""COMPUTED_VALUE"""),112.7975)</f>
        <v>112.7975</v>
      </c>
      <c r="G741" s="21">
        <f>IFERROR(__xludf.DUMMYFUNCTION("""COMPUTED_VALUE"""),92.889)</f>
        <v>92.889</v>
      </c>
    </row>
    <row r="742">
      <c r="A742" s="20">
        <f>IFERROR(__xludf.DUMMYFUNCTION("""COMPUTED_VALUE"""),45302.0)</f>
        <v>45302</v>
      </c>
      <c r="B742" s="21">
        <f>IFERROR(__xludf.DUMMYFUNCTION("""COMPUTED_VALUE"""),143.97)</f>
        <v>143.97</v>
      </c>
      <c r="C742" s="22">
        <f>IFERROR(__xludf.DUMMYFUNCTION("""COMPUTED_VALUE"""),119.4)</f>
        <v>119.4</v>
      </c>
      <c r="D742" s="22">
        <f>IFERROR(__xludf.DUMMYFUNCTION("""COMPUTED_VALUE"""),170.6)</f>
        <v>170.6</v>
      </c>
      <c r="E742" s="21">
        <f>IFERROR(__xludf.DUMMYFUNCTION("""COMPUTED_VALUE"""),107.97398568571428)</f>
        <v>107.9739857</v>
      </c>
      <c r="F742" s="21">
        <f>IFERROR(__xludf.DUMMYFUNCTION("""COMPUTED_VALUE"""),112.7975)</f>
        <v>112.7975</v>
      </c>
      <c r="G742" s="21">
        <f>IFERROR(__xludf.DUMMYFUNCTION("""COMPUTED_VALUE"""),92.889)</f>
        <v>92.889</v>
      </c>
    </row>
    <row r="743">
      <c r="A743" s="20">
        <f>IFERROR(__xludf.DUMMYFUNCTION("""COMPUTED_VALUE"""),45303.0)</f>
        <v>45303</v>
      </c>
      <c r="B743" s="21">
        <f>IFERROR(__xludf.DUMMYFUNCTION("""COMPUTED_VALUE"""),143.97)</f>
        <v>143.97</v>
      </c>
      <c r="C743" s="22">
        <f>IFERROR(__xludf.DUMMYFUNCTION("""COMPUTED_VALUE"""),119.4)</f>
        <v>119.4</v>
      </c>
      <c r="D743" s="22">
        <f>IFERROR(__xludf.DUMMYFUNCTION("""COMPUTED_VALUE"""),170.6)</f>
        <v>170.6</v>
      </c>
      <c r="E743" s="21">
        <f>IFERROR(__xludf.DUMMYFUNCTION("""COMPUTED_VALUE"""),108.79200209999999)</f>
        <v>108.7920021</v>
      </c>
      <c r="F743" s="21">
        <f>IFERROR(__xludf.DUMMYFUNCTION("""COMPUTED_VALUE"""),112.7975)</f>
        <v>112.7975</v>
      </c>
      <c r="G743" s="21">
        <f>IFERROR(__xludf.DUMMYFUNCTION("""COMPUTED_VALUE"""),92.889)</f>
        <v>92.889</v>
      </c>
    </row>
    <row r="744">
      <c r="A744" s="20">
        <f>IFERROR(__xludf.DUMMYFUNCTION("""COMPUTED_VALUE"""),45304.0)</f>
        <v>45304</v>
      </c>
      <c r="B744" s="21">
        <f>IFERROR(__xludf.DUMMYFUNCTION("""COMPUTED_VALUE"""),143.97)</f>
        <v>143.97</v>
      </c>
      <c r="C744" s="22">
        <f>IFERROR(__xludf.DUMMYFUNCTION("""COMPUTED_VALUE"""),119.4)</f>
        <v>119.4</v>
      </c>
      <c r="D744" s="22">
        <f>IFERROR(__xludf.DUMMYFUNCTION("""COMPUTED_VALUE"""),170.6)</f>
        <v>170.6</v>
      </c>
      <c r="E744" s="21">
        <f>IFERROR(__xludf.DUMMYFUNCTION("""COMPUTED_VALUE"""),108.70363447142859)</f>
        <v>108.7036345</v>
      </c>
      <c r="F744" s="21">
        <f>IFERROR(__xludf.DUMMYFUNCTION("""COMPUTED_VALUE"""),112.7975)</f>
        <v>112.7975</v>
      </c>
      <c r="G744" s="21">
        <f>IFERROR(__xludf.DUMMYFUNCTION("""COMPUTED_VALUE"""),92.889)</f>
        <v>92.889</v>
      </c>
    </row>
    <row r="745">
      <c r="A745" s="23">
        <f>IFERROR(__xludf.DUMMYFUNCTION("""COMPUTED_VALUE"""),45305.0)</f>
        <v>45305</v>
      </c>
      <c r="B745" s="21">
        <f>IFERROR(__xludf.DUMMYFUNCTION("""COMPUTED_VALUE"""),143.97)</f>
        <v>143.97</v>
      </c>
      <c r="C745" s="22">
        <f>IFERROR(__xludf.DUMMYFUNCTION("""COMPUTED_VALUE"""),119.4)</f>
        <v>119.4</v>
      </c>
      <c r="D745" s="22">
        <f>IFERROR(__xludf.DUMMYFUNCTION("""COMPUTED_VALUE"""),170.6)</f>
        <v>170.6</v>
      </c>
      <c r="E745" s="21">
        <f>IFERROR(__xludf.DUMMYFUNCTION("""COMPUTED_VALUE"""),109.69951788571427)</f>
        <v>109.6995179</v>
      </c>
      <c r="F745" s="21">
        <f>IFERROR(__xludf.DUMMYFUNCTION("""COMPUTED_VALUE"""),112.7975)</f>
        <v>112.7975</v>
      </c>
      <c r="G745" s="21">
        <f>IFERROR(__xludf.DUMMYFUNCTION("""COMPUTED_VALUE"""),92.889)</f>
        <v>92.889</v>
      </c>
    </row>
    <row r="746">
      <c r="A746" s="23">
        <f>IFERROR(__xludf.DUMMYFUNCTION("""COMPUTED_VALUE"""),45306.0)</f>
        <v>45306</v>
      </c>
      <c r="B746" s="21">
        <f>IFERROR(__xludf.DUMMYFUNCTION("""COMPUTED_VALUE"""),143.97)</f>
        <v>143.97</v>
      </c>
      <c r="C746" s="22">
        <f>IFERROR(__xludf.DUMMYFUNCTION("""COMPUTED_VALUE"""),119.4)</f>
        <v>119.4</v>
      </c>
      <c r="D746" s="22">
        <f>IFERROR(__xludf.DUMMYFUNCTION("""COMPUTED_VALUE"""),170.6)</f>
        <v>170.6</v>
      </c>
      <c r="E746" s="21">
        <f>IFERROR(__xludf.DUMMYFUNCTION("""COMPUTED_VALUE"""),108.55650854285713)</f>
        <v>108.5565085</v>
      </c>
      <c r="F746" s="21">
        <f>IFERROR(__xludf.DUMMYFUNCTION("""COMPUTED_VALUE"""),111.59857142857142)</f>
        <v>111.5985714</v>
      </c>
      <c r="G746" s="21">
        <f>IFERROR(__xludf.DUMMYFUNCTION("""COMPUTED_VALUE"""),92.889)</f>
        <v>92.889</v>
      </c>
    </row>
    <row r="747">
      <c r="A747" s="23">
        <f>IFERROR(__xludf.DUMMYFUNCTION("""COMPUTED_VALUE"""),45307.0)</f>
        <v>45307</v>
      </c>
      <c r="B747" s="21">
        <f>IFERROR(__xludf.DUMMYFUNCTION("""COMPUTED_VALUE"""),143.97)</f>
        <v>143.97</v>
      </c>
      <c r="C747" s="22">
        <f>IFERROR(__xludf.DUMMYFUNCTION("""COMPUTED_VALUE"""),119.4)</f>
        <v>119.4</v>
      </c>
      <c r="D747" s="22">
        <f>IFERROR(__xludf.DUMMYFUNCTION("""COMPUTED_VALUE"""),170.6)</f>
        <v>170.6</v>
      </c>
      <c r="E747" s="21">
        <f>IFERROR(__xludf.DUMMYFUNCTION("""COMPUTED_VALUE"""),108.40466834285712)</f>
        <v>108.4046683</v>
      </c>
      <c r="F747" s="21">
        <f>IFERROR(__xludf.DUMMYFUNCTION("""COMPUTED_VALUE"""),110.39964285714284)</f>
        <v>110.3996429</v>
      </c>
      <c r="G747" s="21">
        <f>IFERROR(__xludf.DUMMYFUNCTION("""COMPUTED_VALUE"""),92.889)</f>
        <v>92.889</v>
      </c>
    </row>
    <row r="748">
      <c r="A748" s="23">
        <f>IFERROR(__xludf.DUMMYFUNCTION("""COMPUTED_VALUE"""),45308.0)</f>
        <v>45308</v>
      </c>
      <c r="B748" s="21">
        <f>IFERROR(__xludf.DUMMYFUNCTION("""COMPUTED_VALUE"""),143.97)</f>
        <v>143.97</v>
      </c>
      <c r="C748" s="22">
        <f>IFERROR(__xludf.DUMMYFUNCTION("""COMPUTED_VALUE"""),119.4)</f>
        <v>119.4</v>
      </c>
      <c r="D748" s="22">
        <f>IFERROR(__xludf.DUMMYFUNCTION("""COMPUTED_VALUE"""),170.6)</f>
        <v>170.6</v>
      </c>
      <c r="E748" s="21">
        <f>IFERROR(__xludf.DUMMYFUNCTION("""COMPUTED_VALUE"""),106.74781784285713)</f>
        <v>106.7478178</v>
      </c>
      <c r="F748" s="21">
        <f>IFERROR(__xludf.DUMMYFUNCTION("""COMPUTED_VALUE"""),109.20071428571428)</f>
        <v>109.2007143</v>
      </c>
      <c r="G748" s="21">
        <f>IFERROR(__xludf.DUMMYFUNCTION("""COMPUTED_VALUE"""),92.889)</f>
        <v>92.889</v>
      </c>
    </row>
    <row r="749">
      <c r="A749" s="23">
        <f>IFERROR(__xludf.DUMMYFUNCTION("""COMPUTED_VALUE"""),45309.0)</f>
        <v>45309</v>
      </c>
      <c r="B749" s="21">
        <f>IFERROR(__xludf.DUMMYFUNCTION("""COMPUTED_VALUE"""),143.97)</f>
        <v>143.97</v>
      </c>
      <c r="C749" s="22">
        <f>IFERROR(__xludf.DUMMYFUNCTION("""COMPUTED_VALUE"""),119.4)</f>
        <v>119.4</v>
      </c>
      <c r="D749" s="22">
        <f>IFERROR(__xludf.DUMMYFUNCTION("""COMPUTED_VALUE"""),170.6)</f>
        <v>170.6</v>
      </c>
      <c r="E749" s="21">
        <f>IFERROR(__xludf.DUMMYFUNCTION("""COMPUTED_VALUE"""),105.09470426714286)</f>
        <v>105.0947043</v>
      </c>
      <c r="F749" s="21">
        <f>IFERROR(__xludf.DUMMYFUNCTION("""COMPUTED_VALUE"""),108.0017857142857)</f>
        <v>108.0017857</v>
      </c>
      <c r="G749" s="21">
        <f>IFERROR(__xludf.DUMMYFUNCTION("""COMPUTED_VALUE"""),92.889)</f>
        <v>92.889</v>
      </c>
    </row>
    <row r="750">
      <c r="A750" s="23">
        <f>IFERROR(__xludf.DUMMYFUNCTION("""COMPUTED_VALUE"""),45310.0)</f>
        <v>45310</v>
      </c>
      <c r="B750" s="21">
        <f>IFERROR(__xludf.DUMMYFUNCTION("""COMPUTED_VALUE"""),143.97)</f>
        <v>143.97</v>
      </c>
      <c r="C750" s="22">
        <f>IFERROR(__xludf.DUMMYFUNCTION("""COMPUTED_VALUE"""),119.4)</f>
        <v>119.4</v>
      </c>
      <c r="D750" s="22">
        <f>IFERROR(__xludf.DUMMYFUNCTION("""COMPUTED_VALUE"""),170.6)</f>
        <v>170.6</v>
      </c>
      <c r="E750" s="21">
        <f>IFERROR(__xludf.DUMMYFUNCTION("""COMPUTED_VALUE"""),102.59398998142856)</f>
        <v>102.59399</v>
      </c>
      <c r="F750" s="21">
        <f>IFERROR(__xludf.DUMMYFUNCTION("""COMPUTED_VALUE"""),106.80285714285712)</f>
        <v>106.8028571</v>
      </c>
      <c r="G750" s="21">
        <f>IFERROR(__xludf.DUMMYFUNCTION("""COMPUTED_VALUE"""),92.889)</f>
        <v>92.889</v>
      </c>
    </row>
    <row r="751">
      <c r="A751" s="23">
        <f>IFERROR(__xludf.DUMMYFUNCTION("""COMPUTED_VALUE"""),45311.0)</f>
        <v>45311</v>
      </c>
      <c r="B751" s="21">
        <f>IFERROR(__xludf.DUMMYFUNCTION("""COMPUTED_VALUE"""),143.97)</f>
        <v>143.97</v>
      </c>
      <c r="C751" s="22">
        <f>IFERROR(__xludf.DUMMYFUNCTION("""COMPUTED_VALUE"""),119.4)</f>
        <v>119.4</v>
      </c>
      <c r="D751" s="22">
        <f>IFERROR(__xludf.DUMMYFUNCTION("""COMPUTED_VALUE"""),170.6)</f>
        <v>170.6</v>
      </c>
      <c r="E751" s="21">
        <f>IFERROR(__xludf.DUMMYFUNCTION("""COMPUTED_VALUE"""),101.09427569571429)</f>
        <v>101.0942757</v>
      </c>
      <c r="F751" s="21">
        <f>IFERROR(__xludf.DUMMYFUNCTION("""COMPUTED_VALUE"""),105.60392857142855)</f>
        <v>105.6039286</v>
      </c>
      <c r="G751" s="21">
        <f>IFERROR(__xludf.DUMMYFUNCTION("""COMPUTED_VALUE"""),92.889)</f>
        <v>92.889</v>
      </c>
    </row>
    <row r="752">
      <c r="A752" s="23">
        <f>IFERROR(__xludf.DUMMYFUNCTION("""COMPUTED_VALUE"""),45312.0)</f>
        <v>45312</v>
      </c>
      <c r="B752" s="21">
        <f>IFERROR(__xludf.DUMMYFUNCTION("""COMPUTED_VALUE"""),143.97)</f>
        <v>143.97</v>
      </c>
      <c r="C752" s="22">
        <f>IFERROR(__xludf.DUMMYFUNCTION("""COMPUTED_VALUE"""),119.4)</f>
        <v>119.4</v>
      </c>
      <c r="D752" s="22">
        <f>IFERROR(__xludf.DUMMYFUNCTION("""COMPUTED_VALUE"""),170.6)</f>
        <v>170.6</v>
      </c>
      <c r="E752" s="21">
        <f>IFERROR(__xludf.DUMMYFUNCTION("""COMPUTED_VALUE"""),98.15756141)</f>
        <v>98.15756141</v>
      </c>
      <c r="F752" s="21">
        <f>IFERROR(__xludf.DUMMYFUNCTION("""COMPUTED_VALUE"""),104.40499999999999)</f>
        <v>104.405</v>
      </c>
      <c r="G752" s="21">
        <f>IFERROR(__xludf.DUMMYFUNCTION("""COMPUTED_VALUE"""),92.889)</f>
        <v>92.889</v>
      </c>
    </row>
    <row r="753">
      <c r="A753" s="23">
        <f>IFERROR(__xludf.DUMMYFUNCTION("""COMPUTED_VALUE"""),45313.0)</f>
        <v>45313</v>
      </c>
      <c r="B753" s="21">
        <f>IFERROR(__xludf.DUMMYFUNCTION("""COMPUTED_VALUE"""),143.97)</f>
        <v>143.97</v>
      </c>
      <c r="C753" s="22">
        <f>IFERROR(__xludf.DUMMYFUNCTION("""COMPUTED_VALUE"""),119.4)</f>
        <v>119.4</v>
      </c>
      <c r="D753" s="22">
        <f>IFERROR(__xludf.DUMMYFUNCTION("""COMPUTED_VALUE"""),170.6)</f>
        <v>170.6</v>
      </c>
      <c r="E753" s="21">
        <f>IFERROR(__xludf.DUMMYFUNCTION("""COMPUTED_VALUE"""),98.40033858142856)</f>
        <v>98.40033858</v>
      </c>
      <c r="F753" s="21">
        <f>IFERROR(__xludf.DUMMYFUNCTION("""COMPUTED_VALUE"""),103.83749999999999)</f>
        <v>103.8375</v>
      </c>
      <c r="G753" s="21">
        <f>IFERROR(__xludf.DUMMYFUNCTION("""COMPUTED_VALUE"""),92.889)</f>
        <v>92.889</v>
      </c>
    </row>
    <row r="754">
      <c r="A754" s="23">
        <f>IFERROR(__xludf.DUMMYFUNCTION("""COMPUTED_VALUE"""),45314.0)</f>
        <v>45314</v>
      </c>
      <c r="B754" s="21">
        <f>IFERROR(__xludf.DUMMYFUNCTION("""COMPUTED_VALUE"""),143.97)</f>
        <v>143.97</v>
      </c>
      <c r="C754" s="22">
        <f>IFERROR(__xludf.DUMMYFUNCTION("""COMPUTED_VALUE"""),119.4)</f>
        <v>119.4</v>
      </c>
      <c r="D754" s="22">
        <f>IFERROR(__xludf.DUMMYFUNCTION("""COMPUTED_VALUE"""),170.6)</f>
        <v>170.6</v>
      </c>
      <c r="E754" s="21">
        <f>IFERROR(__xludf.DUMMYFUNCTION("""COMPUTED_VALUE"""),95.85405485857143)</f>
        <v>95.85405486</v>
      </c>
      <c r="F754" s="21">
        <f>IFERROR(__xludf.DUMMYFUNCTION("""COMPUTED_VALUE"""),103.27)</f>
        <v>103.27</v>
      </c>
      <c r="G754" s="21">
        <f>IFERROR(__xludf.DUMMYFUNCTION("""COMPUTED_VALUE"""),92.889)</f>
        <v>92.889</v>
      </c>
    </row>
    <row r="755">
      <c r="A755" s="23">
        <f>IFERROR(__xludf.DUMMYFUNCTION("""COMPUTED_VALUE"""),45315.0)</f>
        <v>45315</v>
      </c>
      <c r="B755" s="21">
        <f>IFERROR(__xludf.DUMMYFUNCTION("""COMPUTED_VALUE"""),143.97)</f>
        <v>143.97</v>
      </c>
      <c r="C755" s="22">
        <f>IFERROR(__xludf.DUMMYFUNCTION("""COMPUTED_VALUE"""),119.4)</f>
        <v>119.4</v>
      </c>
      <c r="D755" s="22">
        <f>IFERROR(__xludf.DUMMYFUNCTION("""COMPUTED_VALUE"""),170.6)</f>
        <v>170.6</v>
      </c>
      <c r="E755" s="21">
        <f>IFERROR(__xludf.DUMMYFUNCTION("""COMPUTED_VALUE"""),95.12544071714287)</f>
        <v>95.12544072</v>
      </c>
      <c r="F755" s="21">
        <f>IFERROR(__xludf.DUMMYFUNCTION("""COMPUTED_VALUE"""),102.7025)</f>
        <v>102.7025</v>
      </c>
      <c r="G755" s="21">
        <f>IFERROR(__xludf.DUMMYFUNCTION("""COMPUTED_VALUE"""),92.889)</f>
        <v>92.889</v>
      </c>
    </row>
    <row r="756">
      <c r="A756" s="23">
        <f>IFERROR(__xludf.DUMMYFUNCTION("""COMPUTED_VALUE"""),45316.0)</f>
        <v>45316</v>
      </c>
      <c r="B756" s="21">
        <f>IFERROR(__xludf.DUMMYFUNCTION("""COMPUTED_VALUE"""),143.97)</f>
        <v>143.97</v>
      </c>
      <c r="C756" s="22">
        <f>IFERROR(__xludf.DUMMYFUNCTION("""COMPUTED_VALUE"""),119.4)</f>
        <v>119.4</v>
      </c>
      <c r="D756" s="22">
        <f>IFERROR(__xludf.DUMMYFUNCTION("""COMPUTED_VALUE"""),170.6)</f>
        <v>170.6</v>
      </c>
      <c r="E756" s="21">
        <f>IFERROR(__xludf.DUMMYFUNCTION("""COMPUTED_VALUE"""),94.78222065428572)</f>
        <v>94.78222065</v>
      </c>
      <c r="F756" s="21">
        <f>IFERROR(__xludf.DUMMYFUNCTION("""COMPUTED_VALUE"""),102.135)</f>
        <v>102.135</v>
      </c>
      <c r="G756" s="21">
        <f>IFERROR(__xludf.DUMMYFUNCTION("""COMPUTED_VALUE"""),92.889)</f>
        <v>92.889</v>
      </c>
    </row>
    <row r="757">
      <c r="A757" s="23">
        <f>IFERROR(__xludf.DUMMYFUNCTION("""COMPUTED_VALUE"""),45317.0)</f>
        <v>45317</v>
      </c>
      <c r="B757" s="21">
        <f>IFERROR(__xludf.DUMMYFUNCTION("""COMPUTED_VALUE"""),143.97)</f>
        <v>143.97</v>
      </c>
      <c r="C757" s="22">
        <f>IFERROR(__xludf.DUMMYFUNCTION("""COMPUTED_VALUE"""),119.4)</f>
        <v>119.4</v>
      </c>
      <c r="D757" s="22">
        <f>IFERROR(__xludf.DUMMYFUNCTION("""COMPUTED_VALUE"""),170.6)</f>
        <v>170.6</v>
      </c>
      <c r="E757" s="21">
        <f>IFERROR(__xludf.DUMMYFUNCTION("""COMPUTED_VALUE"""),96.01474771142857)</f>
        <v>96.01474771</v>
      </c>
      <c r="F757" s="21">
        <f>IFERROR(__xludf.DUMMYFUNCTION("""COMPUTED_VALUE"""),101.5675)</f>
        <v>101.5675</v>
      </c>
      <c r="G757" s="21">
        <f>IFERROR(__xludf.DUMMYFUNCTION("""COMPUTED_VALUE"""),92.889)</f>
        <v>92.889</v>
      </c>
    </row>
    <row r="758">
      <c r="A758" s="23">
        <f>IFERROR(__xludf.DUMMYFUNCTION("""COMPUTED_VALUE"""),45318.0)</f>
        <v>45318</v>
      </c>
      <c r="B758" s="21">
        <f>IFERROR(__xludf.DUMMYFUNCTION("""COMPUTED_VALUE"""),143.97)</f>
        <v>143.97</v>
      </c>
      <c r="C758" s="22">
        <f>IFERROR(__xludf.DUMMYFUNCTION("""COMPUTED_VALUE"""),119.4)</f>
        <v>119.4</v>
      </c>
      <c r="D758" s="22">
        <f>IFERROR(__xludf.DUMMYFUNCTION("""COMPUTED_VALUE"""),170.6)</f>
        <v>170.6</v>
      </c>
      <c r="E758" s="21">
        <f>IFERROR(__xludf.DUMMYFUNCTION("""COMPUTED_VALUE"""),96.32199936285714)</f>
        <v>96.32199936</v>
      </c>
      <c r="F758" s="21">
        <f>IFERROR(__xludf.DUMMYFUNCTION("""COMPUTED_VALUE"""),101.0)</f>
        <v>101</v>
      </c>
      <c r="G758" s="21">
        <f>IFERROR(__xludf.DUMMYFUNCTION("""COMPUTED_VALUE"""),92.889)</f>
        <v>92.889</v>
      </c>
    </row>
    <row r="759">
      <c r="A759" s="23">
        <f>IFERROR(__xludf.DUMMYFUNCTION("""COMPUTED_VALUE"""),45319.0)</f>
        <v>45319</v>
      </c>
      <c r="B759" s="21">
        <f>IFERROR(__xludf.DUMMYFUNCTION("""COMPUTED_VALUE"""),143.97)</f>
        <v>143.97</v>
      </c>
      <c r="C759" s="22">
        <f>IFERROR(__xludf.DUMMYFUNCTION("""COMPUTED_VALUE"""),119.4)</f>
        <v>119.4</v>
      </c>
      <c r="D759" s="22">
        <f>IFERROR(__xludf.DUMMYFUNCTION("""COMPUTED_VALUE"""),170.6)</f>
        <v>170.6</v>
      </c>
      <c r="E759" s="21">
        <f>IFERROR(__xludf.DUMMYFUNCTION("""COMPUTED_VALUE"""),95.3610755257143)</f>
        <v>95.36107553</v>
      </c>
      <c r="F759" s="21">
        <f>IFERROR(__xludf.DUMMYFUNCTION("""COMPUTED_VALUE"""),100.4325)</f>
        <v>100.4325</v>
      </c>
      <c r="G759" s="21">
        <f>IFERROR(__xludf.DUMMYFUNCTION("""COMPUTED_VALUE"""),92.889)</f>
        <v>92.889</v>
      </c>
    </row>
    <row r="760">
      <c r="A760" s="23">
        <f>IFERROR(__xludf.DUMMYFUNCTION("""COMPUTED_VALUE"""),45320.0)</f>
        <v>45320</v>
      </c>
      <c r="B760" s="21">
        <f>IFERROR(__xludf.DUMMYFUNCTION("""COMPUTED_VALUE"""),142.7)</f>
        <v>142.7</v>
      </c>
      <c r="C760" s="22">
        <f>IFERROR(__xludf.DUMMYFUNCTION("""COMPUTED_VALUE"""),117.13)</f>
        <v>117.13</v>
      </c>
      <c r="D760" s="22">
        <f>IFERROR(__xludf.DUMMYFUNCTION("""COMPUTED_VALUE"""),170.6)</f>
        <v>170.6</v>
      </c>
      <c r="E760" s="21">
        <f>IFERROR(__xludf.DUMMYFUNCTION("""COMPUTED_VALUE"""),94.44993266857144)</f>
        <v>94.44993267</v>
      </c>
      <c r="F760" s="21">
        <f>IFERROR(__xludf.DUMMYFUNCTION("""COMPUTED_VALUE"""),100.4325)</f>
        <v>100.4325</v>
      </c>
      <c r="G760" s="21">
        <f>IFERROR(__xludf.DUMMYFUNCTION("""COMPUTED_VALUE"""),92.889)</f>
        <v>92.889</v>
      </c>
    </row>
    <row r="761">
      <c r="A761" s="23">
        <f>IFERROR(__xludf.DUMMYFUNCTION("""COMPUTED_VALUE"""),45321.0)</f>
        <v>45321</v>
      </c>
      <c r="B761" s="21">
        <f>IFERROR(__xludf.DUMMYFUNCTION("""COMPUTED_VALUE"""),142.7)</f>
        <v>142.7</v>
      </c>
      <c r="C761" s="22">
        <f>IFERROR(__xludf.DUMMYFUNCTION("""COMPUTED_VALUE"""),117.13)</f>
        <v>117.13</v>
      </c>
      <c r="D761" s="22">
        <f>IFERROR(__xludf.DUMMYFUNCTION("""COMPUTED_VALUE"""),170.6)</f>
        <v>170.6</v>
      </c>
      <c r="E761" s="21">
        <f>IFERROR(__xludf.DUMMYFUNCTION("""COMPUTED_VALUE"""),95.66977087714285)</f>
        <v>95.66977088</v>
      </c>
      <c r="F761" s="21">
        <f>IFERROR(__xludf.DUMMYFUNCTION("""COMPUTED_VALUE"""),100.4325)</f>
        <v>100.4325</v>
      </c>
      <c r="G761" s="21">
        <f>IFERROR(__xludf.DUMMYFUNCTION("""COMPUTED_VALUE"""),92.889)</f>
        <v>92.889</v>
      </c>
    </row>
    <row r="762">
      <c r="A762" s="23">
        <f>IFERROR(__xludf.DUMMYFUNCTION("""COMPUTED_VALUE"""),45322.0)</f>
        <v>45322</v>
      </c>
      <c r="B762" s="21">
        <f>IFERROR(__xludf.DUMMYFUNCTION("""COMPUTED_VALUE"""),142.7)</f>
        <v>142.7</v>
      </c>
      <c r="C762" s="22">
        <f>IFERROR(__xludf.DUMMYFUNCTION("""COMPUTED_VALUE"""),117.13)</f>
        <v>117.13</v>
      </c>
      <c r="D762" s="22">
        <f>IFERROR(__xludf.DUMMYFUNCTION("""COMPUTED_VALUE"""),170.6)</f>
        <v>170.6</v>
      </c>
      <c r="E762" s="21">
        <f>IFERROR(__xludf.DUMMYFUNCTION("""COMPUTED_VALUE"""),95.97152123285714)</f>
        <v>95.97152123</v>
      </c>
      <c r="F762" s="21">
        <f>IFERROR(__xludf.DUMMYFUNCTION("""COMPUTED_VALUE"""),100.4325)</f>
        <v>100.4325</v>
      </c>
      <c r="G762" s="21">
        <f>IFERROR(__xludf.DUMMYFUNCTION("""COMPUTED_VALUE"""),92.889)</f>
        <v>92.889</v>
      </c>
    </row>
    <row r="763">
      <c r="A763" s="23">
        <f>IFERROR(__xludf.DUMMYFUNCTION("""COMPUTED_VALUE"""),45323.0)</f>
        <v>45323</v>
      </c>
      <c r="B763" s="21">
        <f>IFERROR(__xludf.DUMMYFUNCTION("""COMPUTED_VALUE"""),142.7)</f>
        <v>142.7</v>
      </c>
      <c r="C763" s="22">
        <f>IFERROR(__xludf.DUMMYFUNCTION("""COMPUTED_VALUE"""),117.13)</f>
        <v>117.13</v>
      </c>
      <c r="D763" s="22">
        <f>IFERROR(__xludf.DUMMYFUNCTION("""COMPUTED_VALUE"""),170.6)</f>
        <v>170.6</v>
      </c>
      <c r="E763" s="21">
        <f>IFERROR(__xludf.DUMMYFUNCTION("""COMPUTED_VALUE"""),96.55892507142858)</f>
        <v>96.55892507</v>
      </c>
      <c r="F763" s="21">
        <f>IFERROR(__xludf.DUMMYFUNCTION("""COMPUTED_VALUE"""),100.4325)</f>
        <v>100.4325</v>
      </c>
      <c r="G763" s="21">
        <f>IFERROR(__xludf.DUMMYFUNCTION("""COMPUTED_VALUE"""),92.889)</f>
        <v>92.889</v>
      </c>
    </row>
    <row r="764">
      <c r="A764" s="20">
        <f>IFERROR(__xludf.DUMMYFUNCTION("""COMPUTED_VALUE"""),45324.0)</f>
        <v>45324</v>
      </c>
      <c r="B764" s="21">
        <f>IFERROR(__xludf.DUMMYFUNCTION("""COMPUTED_VALUE"""),142.7)</f>
        <v>142.7</v>
      </c>
      <c r="C764" s="22">
        <f>IFERROR(__xludf.DUMMYFUNCTION("""COMPUTED_VALUE"""),117.13)</f>
        <v>117.13</v>
      </c>
      <c r="D764" s="22">
        <f>IFERROR(__xludf.DUMMYFUNCTION("""COMPUTED_VALUE"""),170.6)</f>
        <v>170.6</v>
      </c>
      <c r="E764" s="21">
        <f>IFERROR(__xludf.DUMMYFUNCTION("""COMPUTED_VALUE"""),96.91316632857142)</f>
        <v>96.91316633</v>
      </c>
      <c r="F764" s="21">
        <f>IFERROR(__xludf.DUMMYFUNCTION("""COMPUTED_VALUE"""),100.4325)</f>
        <v>100.4325</v>
      </c>
      <c r="G764" s="21">
        <f>IFERROR(__xludf.DUMMYFUNCTION("""COMPUTED_VALUE"""),92.889)</f>
        <v>92.889</v>
      </c>
    </row>
    <row r="765">
      <c r="A765" s="20">
        <f>IFERROR(__xludf.DUMMYFUNCTION("""COMPUTED_VALUE"""),45325.0)</f>
        <v>45325</v>
      </c>
      <c r="B765" s="21">
        <f>IFERROR(__xludf.DUMMYFUNCTION("""COMPUTED_VALUE"""),142.7)</f>
        <v>142.7</v>
      </c>
      <c r="C765" s="22">
        <f>IFERROR(__xludf.DUMMYFUNCTION("""COMPUTED_VALUE"""),117.13)</f>
        <v>117.13</v>
      </c>
      <c r="D765" s="22">
        <f>IFERROR(__xludf.DUMMYFUNCTION("""COMPUTED_VALUE"""),170.6)</f>
        <v>170.6</v>
      </c>
      <c r="E765" s="21">
        <f>IFERROR(__xludf.DUMMYFUNCTION("""COMPUTED_VALUE"""),96.55640413857144)</f>
        <v>96.55640414</v>
      </c>
      <c r="F765" s="21">
        <f>IFERROR(__xludf.DUMMYFUNCTION("""COMPUTED_VALUE"""),100.4325)</f>
        <v>100.4325</v>
      </c>
      <c r="G765" s="21">
        <f>IFERROR(__xludf.DUMMYFUNCTION("""COMPUTED_VALUE"""),92.889)</f>
        <v>92.889</v>
      </c>
    </row>
    <row r="766">
      <c r="A766" s="20">
        <f>IFERROR(__xludf.DUMMYFUNCTION("""COMPUTED_VALUE"""),45326.0)</f>
        <v>45326</v>
      </c>
      <c r="B766" s="21">
        <f>IFERROR(__xludf.DUMMYFUNCTION("""COMPUTED_VALUE"""),142.7)</f>
        <v>142.7</v>
      </c>
      <c r="C766" s="22">
        <f>IFERROR(__xludf.DUMMYFUNCTION("""COMPUTED_VALUE"""),117.13)</f>
        <v>117.13</v>
      </c>
      <c r="D766" s="22">
        <f>IFERROR(__xludf.DUMMYFUNCTION("""COMPUTED_VALUE"""),170.6)</f>
        <v>170.6</v>
      </c>
      <c r="E766" s="21">
        <f>IFERROR(__xludf.DUMMYFUNCTION("""COMPUTED_VALUE"""),97.27581139285714)</f>
        <v>97.27581139</v>
      </c>
      <c r="F766" s="21">
        <f>IFERROR(__xludf.DUMMYFUNCTION("""COMPUTED_VALUE"""),100.4325)</f>
        <v>100.4325</v>
      </c>
      <c r="G766" s="21">
        <f>IFERROR(__xludf.DUMMYFUNCTION("""COMPUTED_VALUE"""),92.889)</f>
        <v>92.889</v>
      </c>
    </row>
    <row r="767">
      <c r="A767" s="20">
        <f>IFERROR(__xludf.DUMMYFUNCTION("""COMPUTED_VALUE"""),45327.0)</f>
        <v>45327</v>
      </c>
      <c r="B767" s="21">
        <f>IFERROR(__xludf.DUMMYFUNCTION("""COMPUTED_VALUE"""),142.7)</f>
        <v>142.7</v>
      </c>
      <c r="C767" s="22">
        <f>IFERROR(__xludf.DUMMYFUNCTION("""COMPUTED_VALUE"""),117.13)</f>
        <v>117.13</v>
      </c>
      <c r="D767" s="22">
        <f>IFERROR(__xludf.DUMMYFUNCTION("""COMPUTED_VALUE"""),170.6)</f>
        <v>170.6</v>
      </c>
      <c r="E767" s="21">
        <f>IFERROR(__xludf.DUMMYFUNCTION("""COMPUTED_VALUE"""),97.07283453000001)</f>
        <v>97.07283453</v>
      </c>
      <c r="F767" s="21">
        <f>IFERROR(__xludf.DUMMYFUNCTION("""COMPUTED_VALUE"""),100.4325)</f>
        <v>100.4325</v>
      </c>
      <c r="G767" s="21">
        <f>IFERROR(__xludf.DUMMYFUNCTION("""COMPUTED_VALUE"""),92.889)</f>
        <v>92.889</v>
      </c>
    </row>
    <row r="768">
      <c r="A768" s="20">
        <f>IFERROR(__xludf.DUMMYFUNCTION("""COMPUTED_VALUE"""),45328.0)</f>
        <v>45328</v>
      </c>
      <c r="B768" s="21">
        <f>IFERROR(__xludf.DUMMYFUNCTION("""COMPUTED_VALUE"""),142.7)</f>
        <v>142.7</v>
      </c>
      <c r="C768" s="22">
        <f>IFERROR(__xludf.DUMMYFUNCTION("""COMPUTED_VALUE"""),117.13)</f>
        <v>117.13</v>
      </c>
      <c r="D768" s="22">
        <f>IFERROR(__xludf.DUMMYFUNCTION("""COMPUTED_VALUE"""),170.6)</f>
        <v>170.6</v>
      </c>
      <c r="E768" s="21">
        <f>IFERROR(__xludf.DUMMYFUNCTION("""COMPUTED_VALUE"""),96.64569389428571)</f>
        <v>96.64569389</v>
      </c>
      <c r="F768" s="21">
        <f>IFERROR(__xludf.DUMMYFUNCTION("""COMPUTED_VALUE"""),100.4325)</f>
        <v>100.4325</v>
      </c>
      <c r="G768" s="21">
        <f>IFERROR(__xludf.DUMMYFUNCTION("""COMPUTED_VALUE"""),92.889)</f>
        <v>92.889</v>
      </c>
    </row>
    <row r="769">
      <c r="A769" s="20">
        <f>IFERROR(__xludf.DUMMYFUNCTION("""COMPUTED_VALUE"""),45329.0)</f>
        <v>45329</v>
      </c>
      <c r="B769" s="21">
        <f>IFERROR(__xludf.DUMMYFUNCTION("""COMPUTED_VALUE"""),142.7)</f>
        <v>142.7</v>
      </c>
      <c r="C769" s="22">
        <f>IFERROR(__xludf.DUMMYFUNCTION("""COMPUTED_VALUE"""),117.13)</f>
        <v>117.13</v>
      </c>
      <c r="D769" s="22">
        <f>IFERROR(__xludf.DUMMYFUNCTION("""COMPUTED_VALUE"""),170.6)</f>
        <v>170.6</v>
      </c>
      <c r="E769" s="21">
        <f>IFERROR(__xludf.DUMMYFUNCTION("""COMPUTED_VALUE"""),97.83773208)</f>
        <v>97.83773208</v>
      </c>
      <c r="F769" s="21">
        <f>IFERROR(__xludf.DUMMYFUNCTION("""COMPUTED_VALUE"""),100.4325)</f>
        <v>100.4325</v>
      </c>
      <c r="G769" s="21">
        <f>IFERROR(__xludf.DUMMYFUNCTION("""COMPUTED_VALUE"""),92.889)</f>
        <v>92.889</v>
      </c>
    </row>
    <row r="770">
      <c r="A770" s="20">
        <f>IFERROR(__xludf.DUMMYFUNCTION("""COMPUTED_VALUE"""),45330.0)</f>
        <v>45330</v>
      </c>
      <c r="B770" s="21">
        <f>IFERROR(__xludf.DUMMYFUNCTION("""COMPUTED_VALUE"""),142.7)</f>
        <v>142.7</v>
      </c>
      <c r="C770" s="22">
        <f>IFERROR(__xludf.DUMMYFUNCTION("""COMPUTED_VALUE"""),117.13)</f>
        <v>117.13</v>
      </c>
      <c r="D770" s="22">
        <f>IFERROR(__xludf.DUMMYFUNCTION("""COMPUTED_VALUE"""),170.6)</f>
        <v>170.6</v>
      </c>
      <c r="E770" s="21">
        <f>IFERROR(__xludf.DUMMYFUNCTION("""COMPUTED_VALUE"""),97.10966952571428)</f>
        <v>97.10966953</v>
      </c>
      <c r="F770" s="21">
        <f>IFERROR(__xludf.DUMMYFUNCTION("""COMPUTED_VALUE"""),100.4325)</f>
        <v>100.4325</v>
      </c>
      <c r="G770" s="21">
        <f>IFERROR(__xludf.DUMMYFUNCTION("""COMPUTED_VALUE"""),92.889)</f>
        <v>92.889</v>
      </c>
    </row>
    <row r="771">
      <c r="A771" s="20">
        <f>IFERROR(__xludf.DUMMYFUNCTION("""COMPUTED_VALUE"""),45331.0)</f>
        <v>45331</v>
      </c>
      <c r="B771" s="21">
        <f>IFERROR(__xludf.DUMMYFUNCTION("""COMPUTED_VALUE"""),142.7)</f>
        <v>142.7</v>
      </c>
      <c r="C771" s="22">
        <f>IFERROR(__xludf.DUMMYFUNCTION("""COMPUTED_VALUE"""),117.13)</f>
        <v>117.13</v>
      </c>
      <c r="D771" s="22">
        <f>IFERROR(__xludf.DUMMYFUNCTION("""COMPUTED_VALUE"""),170.6)</f>
        <v>170.6</v>
      </c>
      <c r="E771" s="21">
        <f>IFERROR(__xludf.DUMMYFUNCTION("""COMPUTED_VALUE"""),95.34345516428571)</f>
        <v>95.34345516</v>
      </c>
      <c r="F771" s="21">
        <f>IFERROR(__xludf.DUMMYFUNCTION("""COMPUTED_VALUE"""),100.4325)</f>
        <v>100.4325</v>
      </c>
      <c r="G771" s="21">
        <f>IFERROR(__xludf.DUMMYFUNCTION("""COMPUTED_VALUE"""),92.889)</f>
        <v>92.889</v>
      </c>
    </row>
    <row r="772">
      <c r="A772" s="20">
        <f>IFERROR(__xludf.DUMMYFUNCTION("""COMPUTED_VALUE"""),45332.0)</f>
        <v>45332</v>
      </c>
      <c r="B772" s="21">
        <f>IFERROR(__xludf.DUMMYFUNCTION("""COMPUTED_VALUE"""),142.7)</f>
        <v>142.7</v>
      </c>
      <c r="C772" s="22">
        <f>IFERROR(__xludf.DUMMYFUNCTION("""COMPUTED_VALUE"""),117.13)</f>
        <v>117.13</v>
      </c>
      <c r="D772" s="22">
        <f>IFERROR(__xludf.DUMMYFUNCTION("""COMPUTED_VALUE"""),170.6)</f>
        <v>170.6</v>
      </c>
      <c r="E772" s="21">
        <f>IFERROR(__xludf.DUMMYFUNCTION("""COMPUTED_VALUE"""),94.45008422714287)</f>
        <v>94.45008423</v>
      </c>
      <c r="F772" s="21">
        <f>IFERROR(__xludf.DUMMYFUNCTION("""COMPUTED_VALUE"""),100.4325)</f>
        <v>100.4325</v>
      </c>
      <c r="G772" s="21">
        <f>IFERROR(__xludf.DUMMYFUNCTION("""COMPUTED_VALUE"""),92.889)</f>
        <v>92.889</v>
      </c>
    </row>
    <row r="773">
      <c r="A773" s="20">
        <f>IFERROR(__xludf.DUMMYFUNCTION("""COMPUTED_VALUE"""),45333.0)</f>
        <v>45333</v>
      </c>
      <c r="B773" s="21">
        <f>IFERROR(__xludf.DUMMYFUNCTION("""COMPUTED_VALUE"""),142.7)</f>
        <v>142.7</v>
      </c>
      <c r="C773" s="22">
        <f>IFERROR(__xludf.DUMMYFUNCTION("""COMPUTED_VALUE"""),117.13)</f>
        <v>117.13</v>
      </c>
      <c r="D773" s="22">
        <f>IFERROR(__xludf.DUMMYFUNCTION("""COMPUTED_VALUE"""),170.6)</f>
        <v>170.6</v>
      </c>
      <c r="E773" s="21">
        <f>IFERROR(__xludf.DUMMYFUNCTION("""COMPUTED_VALUE"""),92.69800068428572)</f>
        <v>92.69800068</v>
      </c>
      <c r="F773" s="21">
        <f>IFERROR(__xludf.DUMMYFUNCTION("""COMPUTED_VALUE"""),100.4325)</f>
        <v>100.4325</v>
      </c>
      <c r="G773" s="21">
        <f>IFERROR(__xludf.DUMMYFUNCTION("""COMPUTED_VALUE"""),92.889)</f>
        <v>92.889</v>
      </c>
    </row>
    <row r="774">
      <c r="A774" s="20">
        <f>IFERROR(__xludf.DUMMYFUNCTION("""COMPUTED_VALUE"""),45334.0)</f>
        <v>45334</v>
      </c>
      <c r="B774" s="21">
        <f>IFERROR(__xludf.DUMMYFUNCTION("""COMPUTED_VALUE"""),135.07)</f>
        <v>135.07</v>
      </c>
      <c r="C774" s="22">
        <f>IFERROR(__xludf.DUMMYFUNCTION("""COMPUTED_VALUE"""),114.63)</f>
        <v>114.63</v>
      </c>
      <c r="D774" s="22">
        <f>IFERROR(__xludf.DUMMYFUNCTION("""COMPUTED_VALUE"""),167.34)</f>
        <v>167.34</v>
      </c>
      <c r="E774" s="21">
        <f>IFERROR(__xludf.DUMMYFUNCTION("""COMPUTED_VALUE"""),92.66029991571429)</f>
        <v>92.66029992</v>
      </c>
      <c r="F774" s="21">
        <f>IFERROR(__xludf.DUMMYFUNCTION("""COMPUTED_VALUE"""),99.715)</f>
        <v>99.715</v>
      </c>
      <c r="G774" s="21">
        <f>IFERROR(__xludf.DUMMYFUNCTION("""COMPUTED_VALUE"""),92.889)</f>
        <v>92.889</v>
      </c>
    </row>
    <row r="775">
      <c r="A775" s="20">
        <f>IFERROR(__xludf.DUMMYFUNCTION("""COMPUTED_VALUE"""),45335.0)</f>
        <v>45335</v>
      </c>
      <c r="B775" s="21">
        <f>IFERROR(__xludf.DUMMYFUNCTION("""COMPUTED_VALUE"""),135.07)</f>
        <v>135.07</v>
      </c>
      <c r="C775" s="22">
        <f>IFERROR(__xludf.DUMMYFUNCTION("""COMPUTED_VALUE"""),114.63)</f>
        <v>114.63</v>
      </c>
      <c r="D775" s="22">
        <f>IFERROR(__xludf.DUMMYFUNCTION("""COMPUTED_VALUE"""),167.34)</f>
        <v>167.34</v>
      </c>
      <c r="E775" s="21">
        <f>IFERROR(__xludf.DUMMYFUNCTION("""COMPUTED_VALUE"""),91.49565061428572)</f>
        <v>91.49565061</v>
      </c>
      <c r="F775" s="21">
        <f>IFERROR(__xludf.DUMMYFUNCTION("""COMPUTED_VALUE"""),98.99749999999999)</f>
        <v>98.9975</v>
      </c>
      <c r="G775" s="21">
        <f>IFERROR(__xludf.DUMMYFUNCTION("""COMPUTED_VALUE"""),92.889)</f>
        <v>92.889</v>
      </c>
    </row>
    <row r="776">
      <c r="A776" s="23">
        <f>IFERROR(__xludf.DUMMYFUNCTION("""COMPUTED_VALUE"""),45336.0)</f>
        <v>45336</v>
      </c>
      <c r="B776" s="21">
        <f>IFERROR(__xludf.DUMMYFUNCTION("""COMPUTED_VALUE"""),135.07)</f>
        <v>135.07</v>
      </c>
      <c r="C776" s="22">
        <f>IFERROR(__xludf.DUMMYFUNCTION("""COMPUTED_VALUE"""),114.63)</f>
        <v>114.63</v>
      </c>
      <c r="D776" s="22">
        <f>IFERROR(__xludf.DUMMYFUNCTION("""COMPUTED_VALUE"""),167.34)</f>
        <v>167.34</v>
      </c>
      <c r="E776" s="21">
        <f>IFERROR(__xludf.DUMMYFUNCTION("""COMPUTED_VALUE"""),88.44901186428571)</f>
        <v>88.44901186</v>
      </c>
      <c r="F776" s="21">
        <f>IFERROR(__xludf.DUMMYFUNCTION("""COMPUTED_VALUE"""),98.27999999999999)</f>
        <v>98.28</v>
      </c>
      <c r="G776" s="21">
        <f>IFERROR(__xludf.DUMMYFUNCTION("""COMPUTED_VALUE"""),92.889)</f>
        <v>92.889</v>
      </c>
    </row>
    <row r="777">
      <c r="A777" s="23">
        <f>IFERROR(__xludf.DUMMYFUNCTION("""COMPUTED_VALUE"""),45337.0)</f>
        <v>45337</v>
      </c>
      <c r="B777" s="21">
        <f>IFERROR(__xludf.DUMMYFUNCTION("""COMPUTED_VALUE"""),135.07)</f>
        <v>135.07</v>
      </c>
      <c r="C777" s="22">
        <f>IFERROR(__xludf.DUMMYFUNCTION("""COMPUTED_VALUE"""),114.63)</f>
        <v>114.63</v>
      </c>
      <c r="D777" s="22">
        <f>IFERROR(__xludf.DUMMYFUNCTION("""COMPUTED_VALUE"""),167.34)</f>
        <v>167.34</v>
      </c>
      <c r="E777" s="21">
        <f>IFERROR(__xludf.DUMMYFUNCTION("""COMPUTED_VALUE"""),88.12042786428572)</f>
        <v>88.12042786</v>
      </c>
      <c r="F777" s="21">
        <f>IFERROR(__xludf.DUMMYFUNCTION("""COMPUTED_VALUE"""),97.56249999999999)</f>
        <v>97.5625</v>
      </c>
      <c r="G777" s="21">
        <f>IFERROR(__xludf.DUMMYFUNCTION("""COMPUTED_VALUE"""),92.889)</f>
        <v>92.889</v>
      </c>
    </row>
    <row r="778">
      <c r="A778" s="23">
        <f>IFERROR(__xludf.DUMMYFUNCTION("""COMPUTED_VALUE"""),45338.0)</f>
        <v>45338</v>
      </c>
      <c r="B778" s="21">
        <f>IFERROR(__xludf.DUMMYFUNCTION("""COMPUTED_VALUE"""),135.07)</f>
        <v>135.07</v>
      </c>
      <c r="C778" s="22">
        <f>IFERROR(__xludf.DUMMYFUNCTION("""COMPUTED_VALUE"""),114.63)</f>
        <v>114.63</v>
      </c>
      <c r="D778" s="22">
        <f>IFERROR(__xludf.DUMMYFUNCTION("""COMPUTED_VALUE"""),167.34)</f>
        <v>167.34</v>
      </c>
      <c r="E778" s="21">
        <f>IFERROR(__xludf.DUMMYFUNCTION("""COMPUTED_VALUE"""),87.79384535)</f>
        <v>87.79384535</v>
      </c>
      <c r="F778" s="21">
        <f>IFERROR(__xludf.DUMMYFUNCTION("""COMPUTED_VALUE"""),96.84499999999998)</f>
        <v>96.845</v>
      </c>
      <c r="G778" s="21">
        <f>IFERROR(__xludf.DUMMYFUNCTION("""COMPUTED_VALUE"""),92.889)</f>
        <v>92.889</v>
      </c>
    </row>
    <row r="779">
      <c r="A779" s="23">
        <f>IFERROR(__xludf.DUMMYFUNCTION("""COMPUTED_VALUE"""),45339.0)</f>
        <v>45339</v>
      </c>
      <c r="B779" s="21">
        <f>IFERROR(__xludf.DUMMYFUNCTION("""COMPUTED_VALUE"""),135.07)</f>
        <v>135.07</v>
      </c>
      <c r="C779" s="22">
        <f>IFERROR(__xludf.DUMMYFUNCTION("""COMPUTED_VALUE"""),114.63)</f>
        <v>114.63</v>
      </c>
      <c r="D779" s="22">
        <f>IFERROR(__xludf.DUMMYFUNCTION("""COMPUTED_VALUE"""),167.34)</f>
        <v>167.34</v>
      </c>
      <c r="E779" s="21">
        <f>IFERROR(__xludf.DUMMYFUNCTION("""COMPUTED_VALUE"""),88.36149928142856)</f>
        <v>88.36149928</v>
      </c>
      <c r="F779" s="21">
        <f>IFERROR(__xludf.DUMMYFUNCTION("""COMPUTED_VALUE"""),96.12749999999998)</f>
        <v>96.1275</v>
      </c>
      <c r="G779" s="21">
        <f>IFERROR(__xludf.DUMMYFUNCTION("""COMPUTED_VALUE"""),92.889)</f>
        <v>92.889</v>
      </c>
    </row>
    <row r="780">
      <c r="A780" s="23">
        <f>IFERROR(__xludf.DUMMYFUNCTION("""COMPUTED_VALUE"""),45340.0)</f>
        <v>45340</v>
      </c>
      <c r="B780" s="21">
        <f>IFERROR(__xludf.DUMMYFUNCTION("""COMPUTED_VALUE"""),135.07)</f>
        <v>135.07</v>
      </c>
      <c r="C780" s="22">
        <f>IFERROR(__xludf.DUMMYFUNCTION("""COMPUTED_VALUE"""),114.63)</f>
        <v>114.63</v>
      </c>
      <c r="D780" s="22">
        <f>IFERROR(__xludf.DUMMYFUNCTION("""COMPUTED_VALUE"""),167.34)</f>
        <v>167.34</v>
      </c>
      <c r="E780" s="21">
        <f>IFERROR(__xludf.DUMMYFUNCTION("""COMPUTED_VALUE"""),90.35534211571428)</f>
        <v>90.35534212</v>
      </c>
      <c r="F780" s="21">
        <f>IFERROR(__xludf.DUMMYFUNCTION("""COMPUTED_VALUE"""),95.40999999999998)</f>
        <v>95.41</v>
      </c>
      <c r="G780" s="21">
        <f>IFERROR(__xludf.DUMMYFUNCTION("""COMPUTED_VALUE"""),92.889)</f>
        <v>92.889</v>
      </c>
    </row>
    <row r="781">
      <c r="A781" s="23">
        <f>IFERROR(__xludf.DUMMYFUNCTION("""COMPUTED_VALUE"""),45341.0)</f>
        <v>45341</v>
      </c>
      <c r="B781" s="21">
        <f>IFERROR(__xludf.DUMMYFUNCTION("""COMPUTED_VALUE"""),135.07)</f>
        <v>135.07</v>
      </c>
      <c r="C781" s="22">
        <f>IFERROR(__xludf.DUMMYFUNCTION("""COMPUTED_VALUE"""),114.63)</f>
        <v>114.63</v>
      </c>
      <c r="D781" s="22">
        <f>IFERROR(__xludf.DUMMYFUNCTION("""COMPUTED_VALUE"""),167.34)</f>
        <v>167.34</v>
      </c>
      <c r="E781" s="21">
        <f>IFERROR(__xludf.DUMMYFUNCTION("""COMPUTED_VALUE"""),89.82431922142858)</f>
        <v>89.82431922</v>
      </c>
      <c r="F781" s="21">
        <f>IFERROR(__xludf.DUMMYFUNCTION("""COMPUTED_VALUE"""),94.5592857142857)</f>
        <v>94.55928571</v>
      </c>
      <c r="G781" s="21">
        <f>IFERROR(__xludf.DUMMYFUNCTION("""COMPUTED_VALUE"""),92.889)</f>
        <v>92.889</v>
      </c>
    </row>
    <row r="782">
      <c r="A782" s="23">
        <f>IFERROR(__xludf.DUMMYFUNCTION("""COMPUTED_VALUE"""),45342.0)</f>
        <v>45342</v>
      </c>
      <c r="B782" s="21">
        <f>IFERROR(__xludf.DUMMYFUNCTION("""COMPUTED_VALUE"""),135.07)</f>
        <v>135.07</v>
      </c>
      <c r="C782" s="22">
        <f>IFERROR(__xludf.DUMMYFUNCTION("""COMPUTED_VALUE"""),114.63)</f>
        <v>114.63</v>
      </c>
      <c r="D782" s="22">
        <f>IFERROR(__xludf.DUMMYFUNCTION("""COMPUTED_VALUE"""),167.34)</f>
        <v>167.34</v>
      </c>
      <c r="E782" s="21">
        <f>IFERROR(__xludf.DUMMYFUNCTION("""COMPUTED_VALUE"""),89.33994382571429)</f>
        <v>89.33994383</v>
      </c>
      <c r="F782" s="21">
        <f>IFERROR(__xludf.DUMMYFUNCTION("""COMPUTED_VALUE"""),93.70857142857143)</f>
        <v>93.70857143</v>
      </c>
      <c r="G782" s="21">
        <f>IFERROR(__xludf.DUMMYFUNCTION("""COMPUTED_VALUE"""),92.889)</f>
        <v>92.889</v>
      </c>
    </row>
    <row r="783">
      <c r="A783" s="23">
        <f>IFERROR(__xludf.DUMMYFUNCTION("""COMPUTED_VALUE"""),45343.0)</f>
        <v>45343</v>
      </c>
      <c r="B783" s="21">
        <f>IFERROR(__xludf.DUMMYFUNCTION("""COMPUTED_VALUE"""),135.07)</f>
        <v>135.07</v>
      </c>
      <c r="C783" s="22">
        <f>IFERROR(__xludf.DUMMYFUNCTION("""COMPUTED_VALUE"""),114.63)</f>
        <v>114.63</v>
      </c>
      <c r="D783" s="22">
        <f>IFERROR(__xludf.DUMMYFUNCTION("""COMPUTED_VALUE"""),167.34)</f>
        <v>167.34</v>
      </c>
      <c r="E783" s="21">
        <f>IFERROR(__xludf.DUMMYFUNCTION("""COMPUTED_VALUE"""),88.87783738857142)</f>
        <v>88.87783739</v>
      </c>
      <c r="F783" s="21">
        <f>IFERROR(__xludf.DUMMYFUNCTION("""COMPUTED_VALUE"""),92.85785714285714)</f>
        <v>92.85785714</v>
      </c>
      <c r="G783" s="21">
        <f>IFERROR(__xludf.DUMMYFUNCTION("""COMPUTED_VALUE"""),92.889)</f>
        <v>92.889</v>
      </c>
    </row>
    <row r="784">
      <c r="A784" s="23">
        <f>IFERROR(__xludf.DUMMYFUNCTION("""COMPUTED_VALUE"""),45344.0)</f>
        <v>45344</v>
      </c>
      <c r="B784" s="21">
        <f>IFERROR(__xludf.DUMMYFUNCTION("""COMPUTED_VALUE"""),135.07)</f>
        <v>135.07</v>
      </c>
      <c r="C784" s="22">
        <f>IFERROR(__xludf.DUMMYFUNCTION("""COMPUTED_VALUE"""),114.63)</f>
        <v>114.63</v>
      </c>
      <c r="D784" s="22">
        <f>IFERROR(__xludf.DUMMYFUNCTION("""COMPUTED_VALUE"""),167.34)</f>
        <v>167.34</v>
      </c>
      <c r="E784" s="21">
        <f>IFERROR(__xludf.DUMMYFUNCTION("""COMPUTED_VALUE"""),88.69809094142856)</f>
        <v>88.69809094</v>
      </c>
      <c r="F784" s="21">
        <f>IFERROR(__xludf.DUMMYFUNCTION("""COMPUTED_VALUE"""),92.00714285714287)</f>
        <v>92.00714286</v>
      </c>
      <c r="G784" s="21">
        <f>IFERROR(__xludf.DUMMYFUNCTION("""COMPUTED_VALUE"""),92.889)</f>
        <v>92.889</v>
      </c>
    </row>
    <row r="785">
      <c r="A785" s="23">
        <f>IFERROR(__xludf.DUMMYFUNCTION("""COMPUTED_VALUE"""),45345.0)</f>
        <v>45345</v>
      </c>
      <c r="B785" s="21">
        <f>IFERROR(__xludf.DUMMYFUNCTION("""COMPUTED_VALUE"""),135.07)</f>
        <v>135.07</v>
      </c>
      <c r="C785" s="22">
        <f>IFERROR(__xludf.DUMMYFUNCTION("""COMPUTED_VALUE"""),114.63)</f>
        <v>114.63</v>
      </c>
      <c r="D785" s="22">
        <f>IFERROR(__xludf.DUMMYFUNCTION("""COMPUTED_VALUE"""),167.34)</f>
        <v>167.34</v>
      </c>
      <c r="E785" s="21">
        <f>IFERROR(__xludf.DUMMYFUNCTION("""COMPUTED_VALUE"""),87.29540269428571)</f>
        <v>87.29540269</v>
      </c>
      <c r="F785" s="21">
        <f>IFERROR(__xludf.DUMMYFUNCTION("""COMPUTED_VALUE"""),91.15642857142858)</f>
        <v>91.15642857</v>
      </c>
      <c r="G785" s="21">
        <f>IFERROR(__xludf.DUMMYFUNCTION("""COMPUTED_VALUE"""),92.889)</f>
        <v>92.889</v>
      </c>
    </row>
    <row r="786">
      <c r="A786" s="23">
        <f>IFERROR(__xludf.DUMMYFUNCTION("""COMPUTED_VALUE"""),45346.0)</f>
        <v>45346</v>
      </c>
      <c r="B786" s="21">
        <f>IFERROR(__xludf.DUMMYFUNCTION("""COMPUTED_VALUE"""),135.07)</f>
        <v>135.07</v>
      </c>
      <c r="C786" s="22">
        <f>IFERROR(__xludf.DUMMYFUNCTION("""COMPUTED_VALUE"""),114.63)</f>
        <v>114.63</v>
      </c>
      <c r="D786" s="22">
        <f>IFERROR(__xludf.DUMMYFUNCTION("""COMPUTED_VALUE"""),167.34)</f>
        <v>167.34</v>
      </c>
      <c r="E786" s="21">
        <f>IFERROR(__xludf.DUMMYFUNCTION("""COMPUTED_VALUE"""),85.56036425714287)</f>
        <v>85.56036426</v>
      </c>
      <c r="F786" s="21">
        <f>IFERROR(__xludf.DUMMYFUNCTION("""COMPUTED_VALUE"""),90.30571428571429)</f>
        <v>90.30571429</v>
      </c>
      <c r="G786" s="21">
        <f>IFERROR(__xludf.DUMMYFUNCTION("""COMPUTED_VALUE"""),92.889)</f>
        <v>92.889</v>
      </c>
    </row>
    <row r="787">
      <c r="A787" s="23">
        <f>IFERROR(__xludf.DUMMYFUNCTION("""COMPUTED_VALUE"""),45347.0)</f>
        <v>45347</v>
      </c>
      <c r="B787" s="21">
        <f>IFERROR(__xludf.DUMMYFUNCTION("""COMPUTED_VALUE"""),135.07)</f>
        <v>135.07</v>
      </c>
      <c r="C787" s="22">
        <f>IFERROR(__xludf.DUMMYFUNCTION("""COMPUTED_VALUE"""),114.63)</f>
        <v>114.63</v>
      </c>
      <c r="D787" s="22">
        <f>IFERROR(__xludf.DUMMYFUNCTION("""COMPUTED_VALUE"""),167.34)</f>
        <v>167.34</v>
      </c>
      <c r="E787" s="21">
        <f>IFERROR(__xludf.DUMMYFUNCTION("""COMPUTED_VALUE"""),83.96040071857144)</f>
        <v>83.96040072</v>
      </c>
      <c r="F787" s="21">
        <f>IFERROR(__xludf.DUMMYFUNCTION("""COMPUTED_VALUE"""),89.45500000000001)</f>
        <v>89.455</v>
      </c>
      <c r="G787" s="21">
        <f>IFERROR(__xludf.DUMMYFUNCTION("""COMPUTED_VALUE"""),92.889)</f>
        <v>92.889</v>
      </c>
    </row>
    <row r="788">
      <c r="A788" s="23">
        <f>IFERROR(__xludf.DUMMYFUNCTION("""COMPUTED_VALUE"""),45348.0)</f>
        <v>45348</v>
      </c>
      <c r="B788" s="21">
        <f>IFERROR(__xludf.DUMMYFUNCTION("""COMPUTED_VALUE"""),121.47)</f>
        <v>121.47</v>
      </c>
      <c r="C788" s="22">
        <f>IFERROR(__xludf.DUMMYFUNCTION("""COMPUTED_VALUE"""),97.553)</f>
        <v>97.553</v>
      </c>
      <c r="D788" s="22">
        <f>IFERROR(__xludf.DUMMYFUNCTION("""COMPUTED_VALUE"""),162.81)</f>
        <v>162.81</v>
      </c>
      <c r="E788" s="21">
        <f>IFERROR(__xludf.DUMMYFUNCTION("""COMPUTED_VALUE"""),82.57895838714285)</f>
        <v>82.57895839</v>
      </c>
      <c r="F788" s="21">
        <f>IFERROR(__xludf.DUMMYFUNCTION("""COMPUTED_VALUE"""),88.8157142857143)</f>
        <v>88.81571429</v>
      </c>
      <c r="G788" s="21">
        <f>IFERROR(__xludf.DUMMYFUNCTION("""COMPUTED_VALUE"""),92.889)</f>
        <v>92.889</v>
      </c>
    </row>
    <row r="789">
      <c r="A789" s="23">
        <f>IFERROR(__xludf.DUMMYFUNCTION("""COMPUTED_VALUE"""),45349.0)</f>
        <v>45349</v>
      </c>
      <c r="B789" s="21">
        <f>IFERROR(__xludf.DUMMYFUNCTION("""COMPUTED_VALUE"""),121.47)</f>
        <v>121.47</v>
      </c>
      <c r="C789" s="22">
        <f>IFERROR(__xludf.DUMMYFUNCTION("""COMPUTED_VALUE"""),97.553)</f>
        <v>97.553</v>
      </c>
      <c r="D789" s="22">
        <f>IFERROR(__xludf.DUMMYFUNCTION("""COMPUTED_VALUE"""),162.81)</f>
        <v>162.81</v>
      </c>
      <c r="E789" s="21">
        <f>IFERROR(__xludf.DUMMYFUNCTION("""COMPUTED_VALUE"""),82.56288127285714)</f>
        <v>82.56288127</v>
      </c>
      <c r="F789" s="21">
        <f>IFERROR(__xludf.DUMMYFUNCTION("""COMPUTED_VALUE"""),88.17642857142857)</f>
        <v>88.17642857</v>
      </c>
      <c r="G789" s="21">
        <f>IFERROR(__xludf.DUMMYFUNCTION("""COMPUTED_VALUE"""),92.889)</f>
        <v>92.889</v>
      </c>
    </row>
    <row r="790">
      <c r="A790" s="23">
        <f>IFERROR(__xludf.DUMMYFUNCTION("""COMPUTED_VALUE"""),45350.0)</f>
        <v>45350</v>
      </c>
      <c r="B790" s="21">
        <f>IFERROR(__xludf.DUMMYFUNCTION("""COMPUTED_VALUE"""),121.47)</f>
        <v>121.47</v>
      </c>
      <c r="C790" s="22">
        <f>IFERROR(__xludf.DUMMYFUNCTION("""COMPUTED_VALUE"""),97.553)</f>
        <v>97.553</v>
      </c>
      <c r="D790" s="22">
        <f>IFERROR(__xludf.DUMMYFUNCTION("""COMPUTED_VALUE"""),162.81)</f>
        <v>162.81</v>
      </c>
      <c r="E790" s="21">
        <f>IFERROR(__xludf.DUMMYFUNCTION("""COMPUTED_VALUE"""),82.75376784714285)</f>
        <v>82.75376785</v>
      </c>
      <c r="F790" s="21">
        <f>IFERROR(__xludf.DUMMYFUNCTION("""COMPUTED_VALUE"""),87.53714285714285)</f>
        <v>87.53714286</v>
      </c>
      <c r="G790" s="21">
        <f>IFERROR(__xludf.DUMMYFUNCTION("""COMPUTED_VALUE"""),92.889)</f>
        <v>92.889</v>
      </c>
    </row>
    <row r="791">
      <c r="A791" s="23">
        <f>IFERROR(__xludf.DUMMYFUNCTION("""COMPUTED_VALUE"""),45351.0)</f>
        <v>45351</v>
      </c>
      <c r="B791" s="21">
        <f>IFERROR(__xludf.DUMMYFUNCTION("""COMPUTED_VALUE"""),121.47)</f>
        <v>121.47</v>
      </c>
      <c r="C791" s="22">
        <f>IFERROR(__xludf.DUMMYFUNCTION("""COMPUTED_VALUE"""),97.553)</f>
        <v>97.553</v>
      </c>
      <c r="D791" s="22">
        <f>IFERROR(__xludf.DUMMYFUNCTION("""COMPUTED_VALUE"""),162.81)</f>
        <v>162.81</v>
      </c>
      <c r="E791" s="21">
        <f>IFERROR(__xludf.DUMMYFUNCTION("""COMPUTED_VALUE"""),81.98504345857143)</f>
        <v>81.98504346</v>
      </c>
      <c r="F791" s="21">
        <f>IFERROR(__xludf.DUMMYFUNCTION("""COMPUTED_VALUE"""),86.89785714285715)</f>
        <v>86.89785714</v>
      </c>
      <c r="G791" s="21">
        <f>IFERROR(__xludf.DUMMYFUNCTION("""COMPUTED_VALUE"""),92.889)</f>
        <v>92.889</v>
      </c>
    </row>
    <row r="792">
      <c r="A792" s="20">
        <f>IFERROR(__xludf.DUMMYFUNCTION("""COMPUTED_VALUE"""),45352.0)</f>
        <v>45352</v>
      </c>
      <c r="B792" s="21">
        <f>IFERROR(__xludf.DUMMYFUNCTION("""COMPUTED_VALUE"""),121.47)</f>
        <v>121.47</v>
      </c>
      <c r="C792" s="22">
        <f>IFERROR(__xludf.DUMMYFUNCTION("""COMPUTED_VALUE"""),97.553)</f>
        <v>97.553</v>
      </c>
      <c r="D792" s="22">
        <f>IFERROR(__xludf.DUMMYFUNCTION("""COMPUTED_VALUE"""),162.81)</f>
        <v>162.81</v>
      </c>
      <c r="E792" s="21">
        <f>IFERROR(__xludf.DUMMYFUNCTION("""COMPUTED_VALUE"""),84.10119103)</f>
        <v>84.10119103</v>
      </c>
      <c r="F792" s="21">
        <f>IFERROR(__xludf.DUMMYFUNCTION("""COMPUTED_VALUE"""),86.25857142857144)</f>
        <v>86.25857143</v>
      </c>
      <c r="G792" s="21">
        <f>IFERROR(__xludf.DUMMYFUNCTION("""COMPUTED_VALUE"""),92.889)</f>
        <v>92.889</v>
      </c>
    </row>
    <row r="793">
      <c r="A793" s="20">
        <f>IFERROR(__xludf.DUMMYFUNCTION("""COMPUTED_VALUE"""),45353.0)</f>
        <v>45353</v>
      </c>
      <c r="B793" s="21">
        <f>IFERROR(__xludf.DUMMYFUNCTION("""COMPUTED_VALUE"""),121.47)</f>
        <v>121.47</v>
      </c>
      <c r="C793" s="22">
        <f>IFERROR(__xludf.DUMMYFUNCTION("""COMPUTED_VALUE"""),97.553)</f>
        <v>97.553</v>
      </c>
      <c r="D793" s="22">
        <f>IFERROR(__xludf.DUMMYFUNCTION("""COMPUTED_VALUE"""),162.81)</f>
        <v>162.81</v>
      </c>
      <c r="E793" s="21">
        <f>IFERROR(__xludf.DUMMYFUNCTION("""COMPUTED_VALUE"""),85.45710962857142)</f>
        <v>85.45710963</v>
      </c>
      <c r="F793" s="21">
        <f>IFERROR(__xludf.DUMMYFUNCTION("""COMPUTED_VALUE"""),85.61928571428572)</f>
        <v>85.61928571</v>
      </c>
      <c r="G793" s="21">
        <f>IFERROR(__xludf.DUMMYFUNCTION("""COMPUTED_VALUE"""),92.889)</f>
        <v>92.889</v>
      </c>
    </row>
    <row r="794">
      <c r="A794" s="20">
        <f>IFERROR(__xludf.DUMMYFUNCTION("""COMPUTED_VALUE"""),45354.0)</f>
        <v>45354</v>
      </c>
      <c r="B794" s="21">
        <f>IFERROR(__xludf.DUMMYFUNCTION("""COMPUTED_VALUE"""),121.47)</f>
        <v>121.47</v>
      </c>
      <c r="C794" s="22">
        <f>IFERROR(__xludf.DUMMYFUNCTION("""COMPUTED_VALUE"""),97.553)</f>
        <v>97.553</v>
      </c>
      <c r="D794" s="22">
        <f>IFERROR(__xludf.DUMMYFUNCTION("""COMPUTED_VALUE"""),162.81)</f>
        <v>162.81</v>
      </c>
      <c r="E794" s="21">
        <f>IFERROR(__xludf.DUMMYFUNCTION("""COMPUTED_VALUE"""),85.64436099714285)</f>
        <v>85.644361</v>
      </c>
      <c r="F794" s="21">
        <f>IFERROR(__xludf.DUMMYFUNCTION("""COMPUTED_VALUE"""),84.98)</f>
        <v>84.98</v>
      </c>
      <c r="G794" s="21">
        <f>IFERROR(__xludf.DUMMYFUNCTION("""COMPUTED_VALUE"""),92.889)</f>
        <v>92.889</v>
      </c>
    </row>
    <row r="795">
      <c r="A795" s="20">
        <f>IFERROR(__xludf.DUMMYFUNCTION("""COMPUTED_VALUE"""),45355.0)</f>
        <v>45355</v>
      </c>
      <c r="B795" s="21">
        <f>IFERROR(__xludf.DUMMYFUNCTION("""COMPUTED_VALUE"""),114.35)</f>
        <v>114.35</v>
      </c>
      <c r="C795" s="22">
        <f>IFERROR(__xludf.DUMMYFUNCTION("""COMPUTED_VALUE"""),96.69)</f>
        <v>96.69</v>
      </c>
      <c r="D795" s="22">
        <f>IFERROR(__xludf.DUMMYFUNCTION("""COMPUTED_VALUE"""),156.0)</f>
        <v>156</v>
      </c>
      <c r="E795" s="21">
        <f>IFERROR(__xludf.DUMMYFUNCTION("""COMPUTED_VALUE"""),86.75177823142859)</f>
        <v>86.75177823</v>
      </c>
      <c r="F795" s="21">
        <f>IFERROR(__xludf.DUMMYFUNCTION("""COMPUTED_VALUE"""),85.37214285714286)</f>
        <v>85.37214286</v>
      </c>
      <c r="G795" s="21">
        <f>IFERROR(__xludf.DUMMYFUNCTION("""COMPUTED_VALUE"""),92.889)</f>
        <v>92.889</v>
      </c>
    </row>
    <row r="796">
      <c r="A796" s="20">
        <f>IFERROR(__xludf.DUMMYFUNCTION("""COMPUTED_VALUE"""),45356.0)</f>
        <v>45356</v>
      </c>
      <c r="B796" s="21">
        <f>IFERROR(__xludf.DUMMYFUNCTION("""COMPUTED_VALUE"""),114.35)</f>
        <v>114.35</v>
      </c>
      <c r="C796" s="22">
        <f>IFERROR(__xludf.DUMMYFUNCTION("""COMPUTED_VALUE"""),96.69)</f>
        <v>96.69</v>
      </c>
      <c r="D796" s="22">
        <f>IFERROR(__xludf.DUMMYFUNCTION("""COMPUTED_VALUE"""),156.0)</f>
        <v>156</v>
      </c>
      <c r="E796" s="21">
        <f>IFERROR(__xludf.DUMMYFUNCTION("""COMPUTED_VALUE"""),87.25052717142856)</f>
        <v>87.25052717</v>
      </c>
      <c r="F796" s="21">
        <f>IFERROR(__xludf.DUMMYFUNCTION("""COMPUTED_VALUE"""),85.76428571428572)</f>
        <v>85.76428571</v>
      </c>
      <c r="G796" s="21">
        <f>IFERROR(__xludf.DUMMYFUNCTION("""COMPUTED_VALUE"""),92.889)</f>
        <v>92.889</v>
      </c>
    </row>
    <row r="797">
      <c r="A797" s="20">
        <f>IFERROR(__xludf.DUMMYFUNCTION("""COMPUTED_VALUE"""),45357.0)</f>
        <v>45357</v>
      </c>
      <c r="B797" s="21">
        <f>IFERROR(__xludf.DUMMYFUNCTION("""COMPUTED_VALUE"""),114.35)</f>
        <v>114.35</v>
      </c>
      <c r="C797" s="22">
        <f>IFERROR(__xludf.DUMMYFUNCTION("""COMPUTED_VALUE"""),96.69)</f>
        <v>96.69</v>
      </c>
      <c r="D797" s="22">
        <f>IFERROR(__xludf.DUMMYFUNCTION("""COMPUTED_VALUE"""),156.0)</f>
        <v>156</v>
      </c>
      <c r="E797" s="21">
        <f>IFERROR(__xludf.DUMMYFUNCTION("""COMPUTED_VALUE"""),88.35626040571431)</f>
        <v>88.35626041</v>
      </c>
      <c r="F797" s="21">
        <f>IFERROR(__xludf.DUMMYFUNCTION("""COMPUTED_VALUE"""),86.15642857142858)</f>
        <v>86.15642857</v>
      </c>
      <c r="G797" s="21">
        <f>IFERROR(__xludf.DUMMYFUNCTION("""COMPUTED_VALUE"""),92.889)</f>
        <v>92.889</v>
      </c>
    </row>
    <row r="798">
      <c r="A798" s="20">
        <f>IFERROR(__xludf.DUMMYFUNCTION("""COMPUTED_VALUE"""),45358.0)</f>
        <v>45358</v>
      </c>
      <c r="B798" s="21">
        <f>IFERROR(__xludf.DUMMYFUNCTION("""COMPUTED_VALUE"""),114.35)</f>
        <v>114.35</v>
      </c>
      <c r="C798" s="22">
        <f>IFERROR(__xludf.DUMMYFUNCTION("""COMPUTED_VALUE"""),96.69)</f>
        <v>96.69</v>
      </c>
      <c r="D798" s="22">
        <f>IFERROR(__xludf.DUMMYFUNCTION("""COMPUTED_VALUE"""),156.0)</f>
        <v>156</v>
      </c>
      <c r="E798" s="21">
        <f>IFERROR(__xludf.DUMMYFUNCTION("""COMPUTED_VALUE"""),89.80009899)</f>
        <v>89.80009899</v>
      </c>
      <c r="F798" s="21">
        <f>IFERROR(__xludf.DUMMYFUNCTION("""COMPUTED_VALUE"""),86.54857142857144)</f>
        <v>86.54857143</v>
      </c>
      <c r="G798" s="21">
        <f>IFERROR(__xludf.DUMMYFUNCTION("""COMPUTED_VALUE"""),92.889)</f>
        <v>92.889</v>
      </c>
    </row>
    <row r="799">
      <c r="A799" s="20">
        <f>IFERROR(__xludf.DUMMYFUNCTION("""COMPUTED_VALUE"""),45359.0)</f>
        <v>45359</v>
      </c>
      <c r="B799" s="21">
        <f>IFERROR(__xludf.DUMMYFUNCTION("""COMPUTED_VALUE"""),114.35)</f>
        <v>114.35</v>
      </c>
      <c r="C799" s="22">
        <f>IFERROR(__xludf.DUMMYFUNCTION("""COMPUTED_VALUE"""),96.69)</f>
        <v>96.69</v>
      </c>
      <c r="D799" s="22">
        <f>IFERROR(__xludf.DUMMYFUNCTION("""COMPUTED_VALUE"""),156.0)</f>
        <v>156</v>
      </c>
      <c r="E799" s="21">
        <f>IFERROR(__xludf.DUMMYFUNCTION("""COMPUTED_VALUE"""),90.42966444142857)</f>
        <v>90.42966444</v>
      </c>
      <c r="F799" s="21">
        <f>IFERROR(__xludf.DUMMYFUNCTION("""COMPUTED_VALUE"""),86.9407142857143)</f>
        <v>86.94071429</v>
      </c>
      <c r="G799" s="21">
        <f>IFERROR(__xludf.DUMMYFUNCTION("""COMPUTED_VALUE"""),92.889)</f>
        <v>92.889</v>
      </c>
    </row>
    <row r="800">
      <c r="A800" s="20">
        <f>IFERROR(__xludf.DUMMYFUNCTION("""COMPUTED_VALUE"""),45360.0)</f>
        <v>45360</v>
      </c>
      <c r="B800" s="21">
        <f>IFERROR(__xludf.DUMMYFUNCTION("""COMPUTED_VALUE"""),114.35)</f>
        <v>114.35</v>
      </c>
      <c r="C800" s="22">
        <f>IFERROR(__xludf.DUMMYFUNCTION("""COMPUTED_VALUE"""),96.69)</f>
        <v>96.69</v>
      </c>
      <c r="D800" s="22">
        <f>IFERROR(__xludf.DUMMYFUNCTION("""COMPUTED_VALUE"""),156.0)</f>
        <v>156</v>
      </c>
      <c r="E800" s="21">
        <f>IFERROR(__xludf.DUMMYFUNCTION("""COMPUTED_VALUE"""),91.4183144)</f>
        <v>91.4183144</v>
      </c>
      <c r="F800" s="21">
        <f>IFERROR(__xludf.DUMMYFUNCTION("""COMPUTED_VALUE"""),87.33285714285715)</f>
        <v>87.33285714</v>
      </c>
      <c r="G800" s="21">
        <f>IFERROR(__xludf.DUMMYFUNCTION("""COMPUTED_VALUE"""),92.889)</f>
        <v>92.889</v>
      </c>
    </row>
    <row r="801">
      <c r="A801" s="20">
        <f>IFERROR(__xludf.DUMMYFUNCTION("""COMPUTED_VALUE"""),45361.0)</f>
        <v>45361</v>
      </c>
      <c r="B801" s="21">
        <f>IFERROR(__xludf.DUMMYFUNCTION("""COMPUTED_VALUE"""),114.35)</f>
        <v>114.35</v>
      </c>
      <c r="C801" s="22">
        <f>IFERROR(__xludf.DUMMYFUNCTION("""COMPUTED_VALUE"""),96.69)</f>
        <v>96.69</v>
      </c>
      <c r="D801" s="22">
        <f>IFERROR(__xludf.DUMMYFUNCTION("""COMPUTED_VALUE"""),156.0)</f>
        <v>156</v>
      </c>
      <c r="E801" s="21">
        <f>IFERROR(__xludf.DUMMYFUNCTION("""COMPUTED_VALUE"""),91.77570556714285)</f>
        <v>91.77570557</v>
      </c>
      <c r="F801" s="21">
        <f>IFERROR(__xludf.DUMMYFUNCTION("""COMPUTED_VALUE"""),87.72500000000001)</f>
        <v>87.725</v>
      </c>
      <c r="G801" s="21">
        <f>IFERROR(__xludf.DUMMYFUNCTION("""COMPUTED_VALUE"""),92.889)</f>
        <v>92.889</v>
      </c>
    </row>
    <row r="802">
      <c r="A802" s="20">
        <f>IFERROR(__xludf.DUMMYFUNCTION("""COMPUTED_VALUE"""),45362.0)</f>
        <v>45362</v>
      </c>
      <c r="B802" s="21">
        <f>IFERROR(__xludf.DUMMYFUNCTION("""COMPUTED_VALUE"""),114.35)</f>
        <v>114.35</v>
      </c>
      <c r="C802" s="22">
        <f>IFERROR(__xludf.DUMMYFUNCTION("""COMPUTED_VALUE"""),96.69)</f>
        <v>96.69</v>
      </c>
      <c r="D802" s="22">
        <f>IFERROR(__xludf.DUMMYFUNCTION("""COMPUTED_VALUE"""),156.0)</f>
        <v>156</v>
      </c>
      <c r="E802" s="21">
        <f>IFERROR(__xludf.DUMMYFUNCTION("""COMPUTED_VALUE"""),92.63512726285714)</f>
        <v>92.63512726</v>
      </c>
      <c r="F802" s="21">
        <f>IFERROR(__xludf.DUMMYFUNCTION("""COMPUTED_VALUE"""),87.93964285714286)</f>
        <v>87.93964286</v>
      </c>
      <c r="G802" s="21">
        <f>IFERROR(__xludf.DUMMYFUNCTION("""COMPUTED_VALUE"""),92.889)</f>
        <v>92.889</v>
      </c>
    </row>
    <row r="803">
      <c r="A803" s="20">
        <f>IFERROR(__xludf.DUMMYFUNCTION("""COMPUTED_VALUE"""),45363.0)</f>
        <v>45363</v>
      </c>
      <c r="B803" s="21">
        <f>IFERROR(__xludf.DUMMYFUNCTION("""COMPUTED_VALUE"""),114.35)</f>
        <v>114.35</v>
      </c>
      <c r="C803" s="22">
        <f>IFERROR(__xludf.DUMMYFUNCTION("""COMPUTED_VALUE"""),96.69)</f>
        <v>96.69</v>
      </c>
      <c r="D803" s="22">
        <f>IFERROR(__xludf.DUMMYFUNCTION("""COMPUTED_VALUE"""),156.0)</f>
        <v>156</v>
      </c>
      <c r="E803" s="21">
        <f>IFERROR(__xludf.DUMMYFUNCTION("""COMPUTED_VALUE"""),92.46985584285714)</f>
        <v>92.46985584</v>
      </c>
      <c r="F803" s="21">
        <f>IFERROR(__xludf.DUMMYFUNCTION("""COMPUTED_VALUE"""),88.1542857142857)</f>
        <v>88.15428571</v>
      </c>
      <c r="G803" s="21">
        <f>IFERROR(__xludf.DUMMYFUNCTION("""COMPUTED_VALUE"""),92.889)</f>
        <v>92.889</v>
      </c>
    </row>
    <row r="804">
      <c r="A804" s="23">
        <f>IFERROR(__xludf.DUMMYFUNCTION("""COMPUTED_VALUE"""),45364.0)</f>
        <v>45364</v>
      </c>
      <c r="B804" s="21">
        <f>IFERROR(__xludf.DUMMYFUNCTION("""COMPUTED_VALUE"""),114.35)</f>
        <v>114.35</v>
      </c>
      <c r="C804" s="22">
        <f>IFERROR(__xludf.DUMMYFUNCTION("""COMPUTED_VALUE"""),96.69)</f>
        <v>96.69</v>
      </c>
      <c r="D804" s="22">
        <f>IFERROR(__xludf.DUMMYFUNCTION("""COMPUTED_VALUE"""),156.0)</f>
        <v>156</v>
      </c>
      <c r="E804" s="21">
        <f>IFERROR(__xludf.DUMMYFUNCTION("""COMPUTED_VALUE"""),92.2790655342857)</f>
        <v>92.27906553</v>
      </c>
      <c r="F804" s="21">
        <f>IFERROR(__xludf.DUMMYFUNCTION("""COMPUTED_VALUE"""),88.36892857142857)</f>
        <v>88.36892857</v>
      </c>
      <c r="G804" s="21">
        <f>IFERROR(__xludf.DUMMYFUNCTION("""COMPUTED_VALUE"""),92.889)</f>
        <v>92.889</v>
      </c>
    </row>
    <row r="805">
      <c r="A805" s="23">
        <f>IFERROR(__xludf.DUMMYFUNCTION("""COMPUTED_VALUE"""),45365.0)</f>
        <v>45365</v>
      </c>
      <c r="B805" s="21">
        <f>IFERROR(__xludf.DUMMYFUNCTION("""COMPUTED_VALUE"""),114.35)</f>
        <v>114.35</v>
      </c>
      <c r="C805" s="22">
        <f>IFERROR(__xludf.DUMMYFUNCTION("""COMPUTED_VALUE"""),96.69)</f>
        <v>96.69</v>
      </c>
      <c r="D805" s="22">
        <f>IFERROR(__xludf.DUMMYFUNCTION("""COMPUTED_VALUE"""),156.0)</f>
        <v>156</v>
      </c>
      <c r="E805" s="21">
        <f>IFERROR(__xludf.DUMMYFUNCTION("""COMPUTED_VALUE"""),92.12780669428571)</f>
        <v>92.12780669</v>
      </c>
      <c r="F805" s="21">
        <f>IFERROR(__xludf.DUMMYFUNCTION("""COMPUTED_VALUE"""),88.58357142857142)</f>
        <v>88.58357143</v>
      </c>
      <c r="G805" s="21">
        <f>IFERROR(__xludf.DUMMYFUNCTION("""COMPUTED_VALUE"""),92.889)</f>
        <v>92.889</v>
      </c>
    </row>
    <row r="806">
      <c r="A806" s="23">
        <f>IFERROR(__xludf.DUMMYFUNCTION("""COMPUTED_VALUE"""),45366.0)</f>
        <v>45366</v>
      </c>
      <c r="B806" s="21">
        <f>IFERROR(__xludf.DUMMYFUNCTION("""COMPUTED_VALUE"""),114.35)</f>
        <v>114.35</v>
      </c>
      <c r="C806" s="22">
        <f>IFERROR(__xludf.DUMMYFUNCTION("""COMPUTED_VALUE"""),96.69)</f>
        <v>96.69</v>
      </c>
      <c r="D806" s="22">
        <f>IFERROR(__xludf.DUMMYFUNCTION("""COMPUTED_VALUE"""),156.0)</f>
        <v>156</v>
      </c>
      <c r="E806" s="21">
        <f>IFERROR(__xludf.DUMMYFUNCTION("""COMPUTED_VALUE"""),90.72022530714284)</f>
        <v>90.72022531</v>
      </c>
      <c r="F806" s="21">
        <f>IFERROR(__xludf.DUMMYFUNCTION("""COMPUTED_VALUE"""),88.79821428571428)</f>
        <v>88.79821429</v>
      </c>
      <c r="G806" s="21">
        <f>IFERROR(__xludf.DUMMYFUNCTION("""COMPUTED_VALUE"""),92.889)</f>
        <v>92.889</v>
      </c>
    </row>
    <row r="807">
      <c r="A807" s="23">
        <f>IFERROR(__xludf.DUMMYFUNCTION("""COMPUTED_VALUE"""),45367.0)</f>
        <v>45367</v>
      </c>
      <c r="B807" s="21">
        <f>IFERROR(__xludf.DUMMYFUNCTION("""COMPUTED_VALUE"""),114.35)</f>
        <v>114.35</v>
      </c>
      <c r="C807" s="22">
        <f>IFERROR(__xludf.DUMMYFUNCTION("""COMPUTED_VALUE"""),96.69)</f>
        <v>96.69</v>
      </c>
      <c r="D807" s="22">
        <f>IFERROR(__xludf.DUMMYFUNCTION("""COMPUTED_VALUE"""),156.0)</f>
        <v>156</v>
      </c>
      <c r="E807" s="21">
        <f>IFERROR(__xludf.DUMMYFUNCTION("""COMPUTED_VALUE"""),89.19704632857143)</f>
        <v>89.19704633</v>
      </c>
      <c r="F807" s="21">
        <f>IFERROR(__xludf.DUMMYFUNCTION("""COMPUTED_VALUE"""),89.01285714285714)</f>
        <v>89.01285714</v>
      </c>
      <c r="G807" s="21">
        <f>IFERROR(__xludf.DUMMYFUNCTION("""COMPUTED_VALUE"""),92.889)</f>
        <v>92.889</v>
      </c>
    </row>
    <row r="808">
      <c r="A808" s="23">
        <f>IFERROR(__xludf.DUMMYFUNCTION("""COMPUTED_VALUE"""),45368.0)</f>
        <v>45368</v>
      </c>
      <c r="B808" s="21">
        <f>IFERROR(__xludf.DUMMYFUNCTION("""COMPUTED_VALUE"""),114.35)</f>
        <v>114.35</v>
      </c>
      <c r="C808" s="22">
        <f>IFERROR(__xludf.DUMMYFUNCTION("""COMPUTED_VALUE"""),96.69)</f>
        <v>96.69</v>
      </c>
      <c r="D808" s="22">
        <f>IFERROR(__xludf.DUMMYFUNCTION("""COMPUTED_VALUE"""),156.0)</f>
        <v>156</v>
      </c>
      <c r="E808" s="21">
        <f>IFERROR(__xludf.DUMMYFUNCTION("""COMPUTED_VALUE"""),89.09047745857143)</f>
        <v>89.09047746</v>
      </c>
      <c r="F808" s="21">
        <f>IFERROR(__xludf.DUMMYFUNCTION("""COMPUTED_VALUE"""),89.22749999999999)</f>
        <v>89.2275</v>
      </c>
      <c r="G808" s="21">
        <f>IFERROR(__xludf.DUMMYFUNCTION("""COMPUTED_VALUE"""),92.889)</f>
        <v>92.889</v>
      </c>
    </row>
    <row r="809">
      <c r="A809" s="23">
        <f>IFERROR(__xludf.DUMMYFUNCTION("""COMPUTED_VALUE"""),45369.0)</f>
        <v>45369</v>
      </c>
      <c r="B809" s="21">
        <f>IFERROR(__xludf.DUMMYFUNCTION("""COMPUTED_VALUE"""),114.35)</f>
        <v>114.35</v>
      </c>
      <c r="C809" s="22">
        <f>IFERROR(__xludf.DUMMYFUNCTION("""COMPUTED_VALUE"""),96.69)</f>
        <v>96.69</v>
      </c>
      <c r="D809" s="22">
        <f>IFERROR(__xludf.DUMMYFUNCTION("""COMPUTED_VALUE"""),156.0)</f>
        <v>156</v>
      </c>
      <c r="E809" s="21">
        <f>IFERROR(__xludf.DUMMYFUNCTION("""COMPUTED_VALUE"""),88.77101329714286)</f>
        <v>88.7710133</v>
      </c>
      <c r="F809" s="21">
        <f>IFERROR(__xludf.DUMMYFUNCTION("""COMPUTED_VALUE"""),89.22749999999999)</f>
        <v>89.2275</v>
      </c>
      <c r="G809" s="21">
        <f>IFERROR(__xludf.DUMMYFUNCTION("""COMPUTED_VALUE"""),92.889)</f>
        <v>92.889</v>
      </c>
    </row>
    <row r="810">
      <c r="A810" s="23">
        <f>IFERROR(__xludf.DUMMYFUNCTION("""COMPUTED_VALUE"""),45370.0)</f>
        <v>45370</v>
      </c>
      <c r="B810" s="21">
        <f>IFERROR(__xludf.DUMMYFUNCTION("""COMPUTED_VALUE"""),114.35)</f>
        <v>114.35</v>
      </c>
      <c r="C810" s="22">
        <f>IFERROR(__xludf.DUMMYFUNCTION("""COMPUTED_VALUE"""),96.69)</f>
        <v>96.69</v>
      </c>
      <c r="D810" s="22">
        <f>IFERROR(__xludf.DUMMYFUNCTION("""COMPUTED_VALUE"""),156.0)</f>
        <v>156</v>
      </c>
      <c r="E810" s="21">
        <f>IFERROR(__xludf.DUMMYFUNCTION("""COMPUTED_VALUE"""),89.60353466285713)</f>
        <v>89.60353466</v>
      </c>
      <c r="F810" s="21">
        <f>IFERROR(__xludf.DUMMYFUNCTION("""COMPUTED_VALUE"""),89.22749999999999)</f>
        <v>89.2275</v>
      </c>
      <c r="G810" s="21">
        <f>IFERROR(__xludf.DUMMYFUNCTION("""COMPUTED_VALUE"""),92.889)</f>
        <v>92.889</v>
      </c>
    </row>
    <row r="811">
      <c r="A811" s="23">
        <f>IFERROR(__xludf.DUMMYFUNCTION("""COMPUTED_VALUE"""),45371.0)</f>
        <v>45371</v>
      </c>
      <c r="B811" s="21">
        <f>IFERROR(__xludf.DUMMYFUNCTION("""COMPUTED_VALUE"""),114.35)</f>
        <v>114.35</v>
      </c>
      <c r="C811" s="22">
        <f>IFERROR(__xludf.DUMMYFUNCTION("""COMPUTED_VALUE"""),96.69)</f>
        <v>96.69</v>
      </c>
      <c r="D811" s="22">
        <f>IFERROR(__xludf.DUMMYFUNCTION("""COMPUTED_VALUE"""),156.0)</f>
        <v>156</v>
      </c>
      <c r="E811" s="21">
        <f>IFERROR(__xludf.DUMMYFUNCTION("""COMPUTED_VALUE"""),90.91341953571428)</f>
        <v>90.91341954</v>
      </c>
      <c r="F811" s="21">
        <f>IFERROR(__xludf.DUMMYFUNCTION("""COMPUTED_VALUE"""),89.22749999999999)</f>
        <v>89.2275</v>
      </c>
      <c r="G811" s="21">
        <f>IFERROR(__xludf.DUMMYFUNCTION("""COMPUTED_VALUE"""),92.889)</f>
        <v>92.889</v>
      </c>
    </row>
    <row r="812">
      <c r="A812" s="23">
        <f>IFERROR(__xludf.DUMMYFUNCTION("""COMPUTED_VALUE"""),45372.0)</f>
        <v>45372</v>
      </c>
      <c r="B812" s="21">
        <f>IFERROR(__xludf.DUMMYFUNCTION("""COMPUTED_VALUE"""),114.35)</f>
        <v>114.35</v>
      </c>
      <c r="C812" s="22">
        <f>IFERROR(__xludf.DUMMYFUNCTION("""COMPUTED_VALUE"""),96.69)</f>
        <v>96.69</v>
      </c>
      <c r="D812" s="22">
        <f>IFERROR(__xludf.DUMMYFUNCTION("""COMPUTED_VALUE"""),156.0)</f>
        <v>156</v>
      </c>
      <c r="E812" s="21">
        <f>IFERROR(__xludf.DUMMYFUNCTION("""COMPUTED_VALUE"""),90.95701806142857)</f>
        <v>90.95701806</v>
      </c>
      <c r="F812" s="21">
        <f>IFERROR(__xludf.DUMMYFUNCTION("""COMPUTED_VALUE"""),89.22749999999999)</f>
        <v>89.2275</v>
      </c>
      <c r="G812" s="21">
        <f>IFERROR(__xludf.DUMMYFUNCTION("""COMPUTED_VALUE"""),92.889)</f>
        <v>92.889</v>
      </c>
    </row>
    <row r="813">
      <c r="A813" s="23">
        <f>IFERROR(__xludf.DUMMYFUNCTION("""COMPUTED_VALUE"""),45373.0)</f>
        <v>45373</v>
      </c>
      <c r="B813" s="21">
        <f>IFERROR(__xludf.DUMMYFUNCTION("""COMPUTED_VALUE"""),114.35)</f>
        <v>114.35</v>
      </c>
      <c r="C813" s="22">
        <f>IFERROR(__xludf.DUMMYFUNCTION("""COMPUTED_VALUE"""),96.69)</f>
        <v>96.69</v>
      </c>
      <c r="D813" s="22">
        <f>IFERROR(__xludf.DUMMYFUNCTION("""COMPUTED_VALUE"""),156.0)</f>
        <v>156</v>
      </c>
      <c r="E813" s="21">
        <f>IFERROR(__xludf.DUMMYFUNCTION("""COMPUTED_VALUE"""),91.55707713857143)</f>
        <v>91.55707714</v>
      </c>
      <c r="F813" s="21">
        <f>IFERROR(__xludf.DUMMYFUNCTION("""COMPUTED_VALUE"""),89.22749999999999)</f>
        <v>89.2275</v>
      </c>
      <c r="G813" s="21">
        <f>IFERROR(__xludf.DUMMYFUNCTION("""COMPUTED_VALUE"""),92.889)</f>
        <v>92.889</v>
      </c>
    </row>
    <row r="814">
      <c r="A814" s="23">
        <f>IFERROR(__xludf.DUMMYFUNCTION("""COMPUTED_VALUE"""),45374.0)</f>
        <v>45374</v>
      </c>
      <c r="B814" s="21">
        <f>IFERROR(__xludf.DUMMYFUNCTION("""COMPUTED_VALUE"""),114.35)</f>
        <v>114.35</v>
      </c>
      <c r="C814" s="22">
        <f>IFERROR(__xludf.DUMMYFUNCTION("""COMPUTED_VALUE"""),96.69)</f>
        <v>96.69</v>
      </c>
      <c r="D814" s="22">
        <f>IFERROR(__xludf.DUMMYFUNCTION("""COMPUTED_VALUE"""),156.0)</f>
        <v>156</v>
      </c>
      <c r="E814" s="21">
        <f>IFERROR(__xludf.DUMMYFUNCTION("""COMPUTED_VALUE"""),91.41042255571428)</f>
        <v>91.41042256</v>
      </c>
      <c r="F814" s="21">
        <f>IFERROR(__xludf.DUMMYFUNCTION("""COMPUTED_VALUE"""),89.22749999999999)</f>
        <v>89.2275</v>
      </c>
      <c r="G814" s="21">
        <f>IFERROR(__xludf.DUMMYFUNCTION("""COMPUTED_VALUE"""),92.889)</f>
        <v>92.889</v>
      </c>
    </row>
    <row r="815">
      <c r="A815" s="23">
        <f>IFERROR(__xludf.DUMMYFUNCTION("""COMPUTED_VALUE"""),45375.0)</f>
        <v>45375</v>
      </c>
      <c r="B815" s="21">
        <f>IFERROR(__xludf.DUMMYFUNCTION("""COMPUTED_VALUE"""),114.35)</f>
        <v>114.35</v>
      </c>
      <c r="C815" s="22">
        <f>IFERROR(__xludf.DUMMYFUNCTION("""COMPUTED_VALUE"""),96.69)</f>
        <v>96.69</v>
      </c>
      <c r="D815" s="22">
        <f>IFERROR(__xludf.DUMMYFUNCTION("""COMPUTED_VALUE"""),156.0)</f>
        <v>156</v>
      </c>
      <c r="E815" s="21">
        <f>IFERROR(__xludf.DUMMYFUNCTION("""COMPUTED_VALUE"""),88.41818978571429)</f>
        <v>88.41818979</v>
      </c>
      <c r="F815" s="21">
        <f>IFERROR(__xludf.DUMMYFUNCTION("""COMPUTED_VALUE"""),89.22749999999999)</f>
        <v>89.2275</v>
      </c>
      <c r="G815" s="21">
        <f>IFERROR(__xludf.DUMMYFUNCTION("""COMPUTED_VALUE"""),92.889)</f>
        <v>92.889</v>
      </c>
    </row>
    <row r="816">
      <c r="A816" s="23">
        <f>IFERROR(__xludf.DUMMYFUNCTION("""COMPUTED_VALUE"""),45376.0)</f>
        <v>45376</v>
      </c>
      <c r="B816" s="21">
        <f>IFERROR(__xludf.DUMMYFUNCTION("""COMPUTED_VALUE"""),112.82)</f>
        <v>112.82</v>
      </c>
      <c r="C816" s="22">
        <f>IFERROR(__xludf.DUMMYFUNCTION("""COMPUTED_VALUE"""),95.37)</f>
        <v>95.37</v>
      </c>
      <c r="D816" s="22">
        <f>IFERROR(__xludf.DUMMYFUNCTION("""COMPUTED_VALUE"""),147.5)</f>
        <v>147.5</v>
      </c>
      <c r="E816" s="21">
        <f>IFERROR(__xludf.DUMMYFUNCTION("""COMPUTED_VALUE"""),89.16573458857144)</f>
        <v>89.16573459</v>
      </c>
      <c r="F816" s="21">
        <f>IFERROR(__xludf.DUMMYFUNCTION("""COMPUTED_VALUE"""),89.22749999999999)</f>
        <v>89.2275</v>
      </c>
      <c r="G816" s="21">
        <f>IFERROR(__xludf.DUMMYFUNCTION("""COMPUTED_VALUE"""),92.889)</f>
        <v>92.889</v>
      </c>
    </row>
    <row r="817">
      <c r="A817" s="23">
        <f>IFERROR(__xludf.DUMMYFUNCTION("""COMPUTED_VALUE"""),45377.0)</f>
        <v>45377</v>
      </c>
      <c r="B817" s="21">
        <f>IFERROR(__xludf.DUMMYFUNCTION("""COMPUTED_VALUE"""),112.82)</f>
        <v>112.82</v>
      </c>
      <c r="C817" s="22">
        <f>IFERROR(__xludf.DUMMYFUNCTION("""COMPUTED_VALUE"""),95.37)</f>
        <v>95.37</v>
      </c>
      <c r="D817" s="22">
        <f>IFERROR(__xludf.DUMMYFUNCTION("""COMPUTED_VALUE"""),147.5)</f>
        <v>147.5</v>
      </c>
      <c r="E817" s="21">
        <f>IFERROR(__xludf.DUMMYFUNCTION("""COMPUTED_VALUE"""),90.02882633571427)</f>
        <v>90.02882634</v>
      </c>
      <c r="F817" s="21">
        <f>IFERROR(__xludf.DUMMYFUNCTION("""COMPUTED_VALUE"""),89.22749999999999)</f>
        <v>89.2275</v>
      </c>
      <c r="G817" s="21">
        <f>IFERROR(__xludf.DUMMYFUNCTION("""COMPUTED_VALUE"""),92.889)</f>
        <v>92.889</v>
      </c>
    </row>
    <row r="818">
      <c r="A818" s="23">
        <f>IFERROR(__xludf.DUMMYFUNCTION("""COMPUTED_VALUE"""),45378.0)</f>
        <v>45378</v>
      </c>
      <c r="B818" s="21">
        <f>IFERROR(__xludf.DUMMYFUNCTION("""COMPUTED_VALUE"""),112.82)</f>
        <v>112.82</v>
      </c>
      <c r="C818" s="22">
        <f>IFERROR(__xludf.DUMMYFUNCTION("""COMPUTED_VALUE"""),95.37)</f>
        <v>95.37</v>
      </c>
      <c r="D818" s="22">
        <f>IFERROR(__xludf.DUMMYFUNCTION("""COMPUTED_VALUE"""),147.5)</f>
        <v>147.5</v>
      </c>
      <c r="E818" s="21">
        <f>IFERROR(__xludf.DUMMYFUNCTION("""COMPUTED_VALUE"""),89.52611646285712)</f>
        <v>89.52611646</v>
      </c>
      <c r="F818" s="21">
        <f>IFERROR(__xludf.DUMMYFUNCTION("""COMPUTED_VALUE"""),89.22749999999999)</f>
        <v>89.2275</v>
      </c>
      <c r="G818" s="21">
        <f>IFERROR(__xludf.DUMMYFUNCTION("""COMPUTED_VALUE"""),92.889)</f>
        <v>92.889</v>
      </c>
    </row>
    <row r="819">
      <c r="A819" s="23">
        <f>IFERROR(__xludf.DUMMYFUNCTION("""COMPUTED_VALUE"""),45379.0)</f>
        <v>45379</v>
      </c>
      <c r="B819" s="21">
        <f>IFERROR(__xludf.DUMMYFUNCTION("""COMPUTED_VALUE"""),112.82)</f>
        <v>112.82</v>
      </c>
      <c r="C819" s="22">
        <f>IFERROR(__xludf.DUMMYFUNCTION("""COMPUTED_VALUE"""),95.37)</f>
        <v>95.37</v>
      </c>
      <c r="D819" s="22">
        <f>IFERROR(__xludf.DUMMYFUNCTION("""COMPUTED_VALUE"""),147.5)</f>
        <v>147.5</v>
      </c>
      <c r="E819" s="21">
        <f>IFERROR(__xludf.DUMMYFUNCTION("""COMPUTED_VALUE"""),88.58540362571429)</f>
        <v>88.58540363</v>
      </c>
      <c r="F819" s="21">
        <f>IFERROR(__xludf.DUMMYFUNCTION("""COMPUTED_VALUE"""),89.22749999999999)</f>
        <v>89.2275</v>
      </c>
      <c r="G819" s="21">
        <f>IFERROR(__xludf.DUMMYFUNCTION("""COMPUTED_VALUE"""),92.889)</f>
        <v>92.889</v>
      </c>
    </row>
    <row r="820">
      <c r="A820" s="23">
        <f>IFERROR(__xludf.DUMMYFUNCTION("""COMPUTED_VALUE"""),45380.0)</f>
        <v>45380</v>
      </c>
      <c r="B820" s="21">
        <f>IFERROR(__xludf.DUMMYFUNCTION("""COMPUTED_VALUE"""),112.82)</f>
        <v>112.82</v>
      </c>
      <c r="C820" s="22">
        <f>IFERROR(__xludf.DUMMYFUNCTION("""COMPUTED_VALUE"""),95.37)</f>
        <v>95.37</v>
      </c>
      <c r="D820" s="22">
        <f>IFERROR(__xludf.DUMMYFUNCTION("""COMPUTED_VALUE"""),147.5)</f>
        <v>147.5</v>
      </c>
      <c r="E820" s="21">
        <f>IFERROR(__xludf.DUMMYFUNCTION("""COMPUTED_VALUE"""),88.26777229857143)</f>
        <v>88.2677723</v>
      </c>
      <c r="F820" s="21">
        <f>IFERROR(__xludf.DUMMYFUNCTION("""COMPUTED_VALUE"""),89.22749999999999)</f>
        <v>89.2275</v>
      </c>
      <c r="G820" s="21">
        <f>IFERROR(__xludf.DUMMYFUNCTION("""COMPUTED_VALUE"""),92.889)</f>
        <v>92.889</v>
      </c>
    </row>
    <row r="821">
      <c r="A821" s="23">
        <f>IFERROR(__xludf.DUMMYFUNCTION("""COMPUTED_VALUE"""),45381.0)</f>
        <v>45381</v>
      </c>
      <c r="B821" s="21">
        <f>IFERROR(__xludf.DUMMYFUNCTION("""COMPUTED_VALUE"""),112.82)</f>
        <v>112.82</v>
      </c>
      <c r="C821" s="22">
        <f>IFERROR(__xludf.DUMMYFUNCTION("""COMPUTED_VALUE"""),95.37)</f>
        <v>95.37</v>
      </c>
      <c r="D821" s="22">
        <f>IFERROR(__xludf.DUMMYFUNCTION("""COMPUTED_VALUE"""),147.5)</f>
        <v>147.5</v>
      </c>
      <c r="E821" s="21">
        <f>IFERROR(__xludf.DUMMYFUNCTION("""COMPUTED_VALUE"""),87.62406050142859)</f>
        <v>87.6240605</v>
      </c>
      <c r="F821" s="21">
        <f>IFERROR(__xludf.DUMMYFUNCTION("""COMPUTED_VALUE"""),89.22749999999999)</f>
        <v>89.2275</v>
      </c>
      <c r="G821" s="21">
        <f>IFERROR(__xludf.DUMMYFUNCTION("""COMPUTED_VALUE"""),92.889)</f>
        <v>92.889</v>
      </c>
    </row>
    <row r="822">
      <c r="A822" s="23">
        <f>IFERROR(__xludf.DUMMYFUNCTION("""COMPUTED_VALUE"""),45382.0)</f>
        <v>45382</v>
      </c>
      <c r="B822" s="21">
        <f>IFERROR(__xludf.DUMMYFUNCTION("""COMPUTED_VALUE"""),112.82)</f>
        <v>112.82</v>
      </c>
      <c r="C822" s="22">
        <f>IFERROR(__xludf.DUMMYFUNCTION("""COMPUTED_VALUE"""),95.37)</f>
        <v>95.37</v>
      </c>
      <c r="D822" s="22">
        <f>IFERROR(__xludf.DUMMYFUNCTION("""COMPUTED_VALUE"""),147.5)</f>
        <v>147.5</v>
      </c>
      <c r="E822" s="21">
        <f>IFERROR(__xludf.DUMMYFUNCTION("""COMPUTED_VALUE"""),92.05146554)</f>
        <v>92.05146554</v>
      </c>
      <c r="F822" s="21">
        <f>IFERROR(__xludf.DUMMYFUNCTION("""COMPUTED_VALUE"""),89.22749999999999)</f>
        <v>89.2275</v>
      </c>
      <c r="G822" s="21">
        <f>IFERROR(__xludf.DUMMYFUNCTION("""COMPUTED_VALUE"""),92.889)</f>
        <v>92.889</v>
      </c>
    </row>
    <row r="823">
      <c r="A823" s="20">
        <f>IFERROR(__xludf.DUMMYFUNCTION("""COMPUTED_VALUE"""),45383.0)</f>
        <v>45383</v>
      </c>
      <c r="B823" s="21">
        <f>IFERROR(__xludf.DUMMYFUNCTION("""COMPUTED_VALUE"""),112.82)</f>
        <v>112.82</v>
      </c>
      <c r="C823" s="22">
        <f>IFERROR(__xludf.DUMMYFUNCTION("""COMPUTED_VALUE"""),95.37)</f>
        <v>95.37</v>
      </c>
      <c r="D823" s="22">
        <f>IFERROR(__xludf.DUMMYFUNCTION("""COMPUTED_VALUE"""),147.5)</f>
        <v>147.5</v>
      </c>
      <c r="E823" s="21">
        <f>IFERROR(__xludf.DUMMYFUNCTION("""COMPUTED_VALUE"""),87.3645878057143)</f>
        <v>87.36458781</v>
      </c>
      <c r="F823" s="21">
        <f>IFERROR(__xludf.DUMMYFUNCTION("""COMPUTED_VALUE"""),89.4944642857143)</f>
        <v>89.49446429</v>
      </c>
      <c r="G823" s="21">
        <f>IFERROR(__xludf.DUMMYFUNCTION("""COMPUTED_VALUE"""),50.404)</f>
        <v>50.404</v>
      </c>
    </row>
    <row r="824">
      <c r="A824" s="20">
        <f>IFERROR(__xludf.DUMMYFUNCTION("""COMPUTED_VALUE"""),45384.0)</f>
        <v>45384</v>
      </c>
      <c r="B824" s="21">
        <f>IFERROR(__xludf.DUMMYFUNCTION("""COMPUTED_VALUE"""),112.82)</f>
        <v>112.82</v>
      </c>
      <c r="C824" s="22">
        <f>IFERROR(__xludf.DUMMYFUNCTION("""COMPUTED_VALUE"""),95.37)</f>
        <v>95.37</v>
      </c>
      <c r="D824" s="22">
        <f>IFERROR(__xludf.DUMMYFUNCTION("""COMPUTED_VALUE"""),147.5)</f>
        <v>147.5</v>
      </c>
      <c r="E824" s="21">
        <f>IFERROR(__xludf.DUMMYFUNCTION("""COMPUTED_VALUE"""),84.17966231714286)</f>
        <v>84.17966232</v>
      </c>
      <c r="F824" s="21">
        <f>IFERROR(__xludf.DUMMYFUNCTION("""COMPUTED_VALUE"""),89.7614285714286)</f>
        <v>89.76142857</v>
      </c>
      <c r="G824" s="21">
        <f>IFERROR(__xludf.DUMMYFUNCTION("""COMPUTED_VALUE"""),50.404)</f>
        <v>50.404</v>
      </c>
    </row>
    <row r="825">
      <c r="A825" s="20">
        <f>IFERROR(__xludf.DUMMYFUNCTION("""COMPUTED_VALUE"""),45385.0)</f>
        <v>45385</v>
      </c>
      <c r="B825" s="21">
        <f>IFERROR(__xludf.DUMMYFUNCTION("""COMPUTED_VALUE"""),112.82)</f>
        <v>112.82</v>
      </c>
      <c r="C825" s="22">
        <f>IFERROR(__xludf.DUMMYFUNCTION("""COMPUTED_VALUE"""),95.37)</f>
        <v>95.37</v>
      </c>
      <c r="D825" s="22">
        <f>IFERROR(__xludf.DUMMYFUNCTION("""COMPUTED_VALUE"""),147.5)</f>
        <v>147.5</v>
      </c>
      <c r="E825" s="21">
        <f>IFERROR(__xludf.DUMMYFUNCTION("""COMPUTED_VALUE"""),84.11133745857144)</f>
        <v>84.11133746</v>
      </c>
      <c r="F825" s="21">
        <f>IFERROR(__xludf.DUMMYFUNCTION("""COMPUTED_VALUE"""),90.02839285714286)</f>
        <v>90.02839286</v>
      </c>
      <c r="G825" s="21">
        <f>IFERROR(__xludf.DUMMYFUNCTION("""COMPUTED_VALUE"""),50.404)</f>
        <v>50.404</v>
      </c>
    </row>
    <row r="826">
      <c r="A826" s="20">
        <f>IFERROR(__xludf.DUMMYFUNCTION("""COMPUTED_VALUE"""),45386.0)</f>
        <v>45386</v>
      </c>
      <c r="B826" s="21">
        <f>IFERROR(__xludf.DUMMYFUNCTION("""COMPUTED_VALUE"""),112.82)</f>
        <v>112.82</v>
      </c>
      <c r="C826" s="22">
        <f>IFERROR(__xludf.DUMMYFUNCTION("""COMPUTED_VALUE"""),95.37)</f>
        <v>95.37</v>
      </c>
      <c r="D826" s="22">
        <f>IFERROR(__xludf.DUMMYFUNCTION("""COMPUTED_VALUE"""),147.5)</f>
        <v>147.5</v>
      </c>
      <c r="E826" s="21">
        <f>IFERROR(__xludf.DUMMYFUNCTION("""COMPUTED_VALUE"""),82.56061056571427)</f>
        <v>82.56061057</v>
      </c>
      <c r="F826" s="21">
        <f>IFERROR(__xludf.DUMMYFUNCTION("""COMPUTED_VALUE"""),90.29535714285716)</f>
        <v>90.29535714</v>
      </c>
      <c r="G826" s="21">
        <f>IFERROR(__xludf.DUMMYFUNCTION("""COMPUTED_VALUE"""),50.404)</f>
        <v>50.404</v>
      </c>
    </row>
    <row r="827">
      <c r="A827" s="20">
        <f>IFERROR(__xludf.DUMMYFUNCTION("""COMPUTED_VALUE"""),45387.0)</f>
        <v>45387</v>
      </c>
      <c r="B827" s="21">
        <f>IFERROR(__xludf.DUMMYFUNCTION("""COMPUTED_VALUE"""),112.82)</f>
        <v>112.82</v>
      </c>
      <c r="C827" s="22">
        <f>IFERROR(__xludf.DUMMYFUNCTION("""COMPUTED_VALUE"""),95.37)</f>
        <v>95.37</v>
      </c>
      <c r="D827" s="22">
        <f>IFERROR(__xludf.DUMMYFUNCTION("""COMPUTED_VALUE"""),147.5)</f>
        <v>147.5</v>
      </c>
      <c r="E827" s="21">
        <f>IFERROR(__xludf.DUMMYFUNCTION("""COMPUTED_VALUE"""),80.64978350857143)</f>
        <v>80.64978351</v>
      </c>
      <c r="F827" s="21">
        <f>IFERROR(__xludf.DUMMYFUNCTION("""COMPUTED_VALUE"""),90.56232142857142)</f>
        <v>90.56232143</v>
      </c>
      <c r="G827" s="21">
        <f>IFERROR(__xludf.DUMMYFUNCTION("""COMPUTED_VALUE"""),50.404)</f>
        <v>50.404</v>
      </c>
    </row>
    <row r="828">
      <c r="A828" s="20">
        <f>IFERROR(__xludf.DUMMYFUNCTION("""COMPUTED_VALUE"""),45388.0)</f>
        <v>45388</v>
      </c>
      <c r="B828" s="21">
        <f>IFERROR(__xludf.DUMMYFUNCTION("""COMPUTED_VALUE"""),112.82)</f>
        <v>112.82</v>
      </c>
      <c r="C828" s="22">
        <f>IFERROR(__xludf.DUMMYFUNCTION("""COMPUTED_VALUE"""),95.37)</f>
        <v>95.37</v>
      </c>
      <c r="D828" s="22">
        <f>IFERROR(__xludf.DUMMYFUNCTION("""COMPUTED_VALUE"""),147.5)</f>
        <v>147.5</v>
      </c>
      <c r="E828" s="21">
        <f>IFERROR(__xludf.DUMMYFUNCTION("""COMPUTED_VALUE"""),80.13266038571429)</f>
        <v>80.13266039</v>
      </c>
      <c r="F828" s="21">
        <f>IFERROR(__xludf.DUMMYFUNCTION("""COMPUTED_VALUE"""),90.82928571428572)</f>
        <v>90.82928571</v>
      </c>
      <c r="G828" s="21">
        <f>IFERROR(__xludf.DUMMYFUNCTION("""COMPUTED_VALUE"""),50.404)</f>
        <v>50.404</v>
      </c>
    </row>
    <row r="829">
      <c r="A829" s="20">
        <f>IFERROR(__xludf.DUMMYFUNCTION("""COMPUTED_VALUE"""),45389.0)</f>
        <v>45389</v>
      </c>
      <c r="B829" s="21">
        <f>IFERROR(__xludf.DUMMYFUNCTION("""COMPUTED_VALUE"""),112.82)</f>
        <v>112.82</v>
      </c>
      <c r="C829" s="22">
        <f>IFERROR(__xludf.DUMMYFUNCTION("""COMPUTED_VALUE"""),95.37)</f>
        <v>95.37</v>
      </c>
      <c r="D829" s="22">
        <f>IFERROR(__xludf.DUMMYFUNCTION("""COMPUTED_VALUE"""),147.5)</f>
        <v>147.5</v>
      </c>
      <c r="E829" s="21">
        <f>IFERROR(__xludf.DUMMYFUNCTION("""COMPUTED_VALUE"""),76.46242456)</f>
        <v>76.46242456</v>
      </c>
      <c r="F829" s="21">
        <f>IFERROR(__xludf.DUMMYFUNCTION("""COMPUTED_VALUE"""),91.09624999999998)</f>
        <v>91.09625</v>
      </c>
      <c r="G829" s="21">
        <f>IFERROR(__xludf.DUMMYFUNCTION("""COMPUTED_VALUE"""),50.404)</f>
        <v>50.404</v>
      </c>
    </row>
    <row r="830">
      <c r="A830" s="20">
        <f>IFERROR(__xludf.DUMMYFUNCTION("""COMPUTED_VALUE"""),45390.0)</f>
        <v>45390</v>
      </c>
      <c r="B830" s="21">
        <f>IFERROR(__xludf.DUMMYFUNCTION("""COMPUTED_VALUE"""),111.9)</f>
        <v>111.9</v>
      </c>
      <c r="C830" s="22">
        <f>IFERROR(__xludf.DUMMYFUNCTION("""COMPUTED_VALUE"""),95.37)</f>
        <v>95.37</v>
      </c>
      <c r="D830" s="22">
        <f>IFERROR(__xludf.DUMMYFUNCTION("""COMPUTED_VALUE"""),143.4)</f>
        <v>143.4</v>
      </c>
      <c r="E830" s="21">
        <f>IFERROR(__xludf.DUMMYFUNCTION("""COMPUTED_VALUE"""),78.12420560857143)</f>
        <v>78.12420561</v>
      </c>
      <c r="F830" s="21">
        <f>IFERROR(__xludf.DUMMYFUNCTION("""COMPUTED_VALUE"""),91.17178571428572)</f>
        <v>91.17178571</v>
      </c>
      <c r="G830" s="21">
        <f>IFERROR(__xludf.DUMMYFUNCTION("""COMPUTED_VALUE"""),50.404)</f>
        <v>50.404</v>
      </c>
    </row>
    <row r="831">
      <c r="A831" s="20">
        <f>IFERROR(__xludf.DUMMYFUNCTION("""COMPUTED_VALUE"""),45391.0)</f>
        <v>45391</v>
      </c>
      <c r="B831" s="21">
        <f>IFERROR(__xludf.DUMMYFUNCTION("""COMPUTED_VALUE"""),111.9)</f>
        <v>111.9</v>
      </c>
      <c r="C831" s="22">
        <f>IFERROR(__xludf.DUMMYFUNCTION("""COMPUTED_VALUE"""),95.37)</f>
        <v>95.37</v>
      </c>
      <c r="D831" s="22">
        <f>IFERROR(__xludf.DUMMYFUNCTION("""COMPUTED_VALUE"""),143.4)</f>
        <v>143.4</v>
      </c>
      <c r="E831" s="21">
        <f>IFERROR(__xludf.DUMMYFUNCTION("""COMPUTED_VALUE"""),78.39105963)</f>
        <v>78.39105963</v>
      </c>
      <c r="F831" s="21">
        <f>IFERROR(__xludf.DUMMYFUNCTION("""COMPUTED_VALUE"""),91.24732142857144)</f>
        <v>91.24732143</v>
      </c>
      <c r="G831" s="21">
        <f>IFERROR(__xludf.DUMMYFUNCTION("""COMPUTED_VALUE"""),50.404)</f>
        <v>50.404</v>
      </c>
    </row>
    <row r="832">
      <c r="A832" s="20">
        <f>IFERROR(__xludf.DUMMYFUNCTION("""COMPUTED_VALUE"""),45392.0)</f>
        <v>45392</v>
      </c>
      <c r="B832" s="21">
        <f>IFERROR(__xludf.DUMMYFUNCTION("""COMPUTED_VALUE"""),111.9)</f>
        <v>111.9</v>
      </c>
      <c r="C832" s="22">
        <f>IFERROR(__xludf.DUMMYFUNCTION("""COMPUTED_VALUE"""),95.37)</f>
        <v>95.37</v>
      </c>
      <c r="D832" s="22">
        <f>IFERROR(__xludf.DUMMYFUNCTION("""COMPUTED_VALUE"""),143.4)</f>
        <v>143.4</v>
      </c>
      <c r="E832" s="21">
        <f>IFERROR(__xludf.DUMMYFUNCTION("""COMPUTED_VALUE"""),77.14730994571428)</f>
        <v>77.14730995</v>
      </c>
      <c r="F832" s="21">
        <f>IFERROR(__xludf.DUMMYFUNCTION("""COMPUTED_VALUE"""),91.32285714285715)</f>
        <v>91.32285714</v>
      </c>
      <c r="G832" s="21">
        <f>IFERROR(__xludf.DUMMYFUNCTION("""COMPUTED_VALUE"""),50.404)</f>
        <v>50.404</v>
      </c>
    </row>
    <row r="833">
      <c r="A833" s="20">
        <f>IFERROR(__xludf.DUMMYFUNCTION("""COMPUTED_VALUE"""),45393.0)</f>
        <v>45393</v>
      </c>
      <c r="B833" s="21">
        <f>IFERROR(__xludf.DUMMYFUNCTION("""COMPUTED_VALUE"""),111.9)</f>
        <v>111.9</v>
      </c>
      <c r="C833" s="22">
        <f>IFERROR(__xludf.DUMMYFUNCTION("""COMPUTED_VALUE"""),95.37)</f>
        <v>95.37</v>
      </c>
      <c r="D833" s="22">
        <f>IFERROR(__xludf.DUMMYFUNCTION("""COMPUTED_VALUE"""),143.4)</f>
        <v>143.4</v>
      </c>
      <c r="E833" s="21">
        <f>IFERROR(__xludf.DUMMYFUNCTION("""COMPUTED_VALUE"""),77.19175058285714)</f>
        <v>77.19175058</v>
      </c>
      <c r="F833" s="21">
        <f>IFERROR(__xludf.DUMMYFUNCTION("""COMPUTED_VALUE"""),91.39839285714285)</f>
        <v>91.39839286</v>
      </c>
      <c r="G833" s="21">
        <f>IFERROR(__xludf.DUMMYFUNCTION("""COMPUTED_VALUE"""),50.404)</f>
        <v>50.404</v>
      </c>
    </row>
    <row r="834">
      <c r="A834" s="20">
        <f>IFERROR(__xludf.DUMMYFUNCTION("""COMPUTED_VALUE"""),45394.0)</f>
        <v>45394</v>
      </c>
      <c r="B834" s="21">
        <f>IFERROR(__xludf.DUMMYFUNCTION("""COMPUTED_VALUE"""),111.9)</f>
        <v>111.9</v>
      </c>
      <c r="C834" s="22">
        <f>IFERROR(__xludf.DUMMYFUNCTION("""COMPUTED_VALUE"""),95.37)</f>
        <v>95.37</v>
      </c>
      <c r="D834" s="22">
        <f>IFERROR(__xludf.DUMMYFUNCTION("""COMPUTED_VALUE"""),143.4)</f>
        <v>143.4</v>
      </c>
      <c r="E834" s="21">
        <f>IFERROR(__xludf.DUMMYFUNCTION("""COMPUTED_VALUE"""),76.6440858442857)</f>
        <v>76.64408584</v>
      </c>
      <c r="F834" s="21">
        <f>IFERROR(__xludf.DUMMYFUNCTION("""COMPUTED_VALUE"""),91.47392857142857)</f>
        <v>91.47392857</v>
      </c>
      <c r="G834" s="21">
        <f>IFERROR(__xludf.DUMMYFUNCTION("""COMPUTED_VALUE"""),50.404)</f>
        <v>50.404</v>
      </c>
    </row>
    <row r="835">
      <c r="A835" s="23">
        <f>IFERROR(__xludf.DUMMYFUNCTION("""COMPUTED_VALUE"""),45395.0)</f>
        <v>45395</v>
      </c>
      <c r="B835" s="21">
        <f>IFERROR(__xludf.DUMMYFUNCTION("""COMPUTED_VALUE"""),111.9)</f>
        <v>111.9</v>
      </c>
      <c r="C835" s="22">
        <f>IFERROR(__xludf.DUMMYFUNCTION("""COMPUTED_VALUE"""),95.37)</f>
        <v>95.37</v>
      </c>
      <c r="D835" s="22">
        <f>IFERROR(__xludf.DUMMYFUNCTION("""COMPUTED_VALUE"""),143.4)</f>
        <v>143.4</v>
      </c>
      <c r="E835" s="21">
        <f>IFERROR(__xludf.DUMMYFUNCTION("""COMPUTED_VALUE"""),76.06973765714285)</f>
        <v>76.06973766</v>
      </c>
      <c r="F835" s="21">
        <f>IFERROR(__xludf.DUMMYFUNCTION("""COMPUTED_VALUE"""),91.5494642857143)</f>
        <v>91.54946429</v>
      </c>
      <c r="G835" s="21">
        <f>IFERROR(__xludf.DUMMYFUNCTION("""COMPUTED_VALUE"""),50.404)</f>
        <v>50.404</v>
      </c>
    </row>
    <row r="836">
      <c r="A836" s="23">
        <f>IFERROR(__xludf.DUMMYFUNCTION("""COMPUTED_VALUE"""),45396.0)</f>
        <v>45396</v>
      </c>
      <c r="B836" s="21">
        <f>IFERROR(__xludf.DUMMYFUNCTION("""COMPUTED_VALUE"""),111.9)</f>
        <v>111.9</v>
      </c>
      <c r="C836" s="22">
        <f>IFERROR(__xludf.DUMMYFUNCTION("""COMPUTED_VALUE"""),95.37)</f>
        <v>95.37</v>
      </c>
      <c r="D836" s="22">
        <f>IFERROR(__xludf.DUMMYFUNCTION("""COMPUTED_VALUE"""),143.4)</f>
        <v>143.4</v>
      </c>
      <c r="E836" s="21">
        <f>IFERROR(__xludf.DUMMYFUNCTION("""COMPUTED_VALUE"""),78.10749796285714)</f>
        <v>78.10749796</v>
      </c>
      <c r="F836" s="21">
        <f>IFERROR(__xludf.DUMMYFUNCTION("""COMPUTED_VALUE"""),91.625)</f>
        <v>91.625</v>
      </c>
      <c r="G836" s="21">
        <f>IFERROR(__xludf.DUMMYFUNCTION("""COMPUTED_VALUE"""),50.404)</f>
        <v>50.404</v>
      </c>
    </row>
    <row r="837">
      <c r="A837" s="23">
        <f>IFERROR(__xludf.DUMMYFUNCTION("""COMPUTED_VALUE"""),45397.0)</f>
        <v>45397</v>
      </c>
      <c r="B837" s="21">
        <f>IFERROR(__xludf.DUMMYFUNCTION("""COMPUTED_VALUE"""),111.9)</f>
        <v>111.9</v>
      </c>
      <c r="C837" s="22">
        <f>IFERROR(__xludf.DUMMYFUNCTION("""COMPUTED_VALUE"""),95.37)</f>
        <v>95.37</v>
      </c>
      <c r="D837" s="22">
        <f>IFERROR(__xludf.DUMMYFUNCTION("""COMPUTED_VALUE"""),143.4)</f>
        <v>143.4</v>
      </c>
      <c r="E837" s="21">
        <f>IFERROR(__xludf.DUMMYFUNCTION("""COMPUTED_VALUE"""),80.32825934428571)</f>
        <v>80.32825934</v>
      </c>
      <c r="F837" s="21">
        <f>IFERROR(__xludf.DUMMYFUNCTION("""COMPUTED_VALUE"""),91.625)</f>
        <v>91.625</v>
      </c>
      <c r="G837" s="21">
        <f>IFERROR(__xludf.DUMMYFUNCTION("""COMPUTED_VALUE"""),50.404)</f>
        <v>50.404</v>
      </c>
    </row>
    <row r="838">
      <c r="A838" s="23">
        <f>IFERROR(__xludf.DUMMYFUNCTION("""COMPUTED_VALUE"""),45398.0)</f>
        <v>45398</v>
      </c>
      <c r="B838" s="21">
        <f>IFERROR(__xludf.DUMMYFUNCTION("""COMPUTED_VALUE"""),111.9)</f>
        <v>111.9</v>
      </c>
      <c r="C838" s="22">
        <f>IFERROR(__xludf.DUMMYFUNCTION("""COMPUTED_VALUE"""),95.37)</f>
        <v>95.37</v>
      </c>
      <c r="D838" s="22">
        <f>IFERROR(__xludf.DUMMYFUNCTION("""COMPUTED_VALUE"""),143.4)</f>
        <v>143.4</v>
      </c>
      <c r="E838" s="21">
        <f>IFERROR(__xludf.DUMMYFUNCTION("""COMPUTED_VALUE"""),79.94472255428572)</f>
        <v>79.94472255</v>
      </c>
      <c r="F838" s="21">
        <f>IFERROR(__xludf.DUMMYFUNCTION("""COMPUTED_VALUE"""),91.625)</f>
        <v>91.625</v>
      </c>
      <c r="G838" s="21">
        <f>IFERROR(__xludf.DUMMYFUNCTION("""COMPUTED_VALUE"""),50.404)</f>
        <v>50.404</v>
      </c>
    </row>
    <row r="839">
      <c r="A839" s="23">
        <f>IFERROR(__xludf.DUMMYFUNCTION("""COMPUTED_VALUE"""),45399.0)</f>
        <v>45399</v>
      </c>
      <c r="B839" s="21">
        <f>IFERROR(__xludf.DUMMYFUNCTION("""COMPUTED_VALUE"""),111.9)</f>
        <v>111.9</v>
      </c>
      <c r="C839" s="22">
        <f>IFERROR(__xludf.DUMMYFUNCTION("""COMPUTED_VALUE"""),95.37)</f>
        <v>95.37</v>
      </c>
      <c r="D839" s="22">
        <f>IFERROR(__xludf.DUMMYFUNCTION("""COMPUTED_VALUE"""),143.4)</f>
        <v>143.4</v>
      </c>
      <c r="E839" s="21">
        <f>IFERROR(__xludf.DUMMYFUNCTION("""COMPUTED_VALUE"""),82.30606688428573)</f>
        <v>82.30606688</v>
      </c>
      <c r="F839" s="21">
        <f>IFERROR(__xludf.DUMMYFUNCTION("""COMPUTED_VALUE"""),91.625)</f>
        <v>91.625</v>
      </c>
      <c r="G839" s="21">
        <f>IFERROR(__xludf.DUMMYFUNCTION("""COMPUTED_VALUE"""),50.404)</f>
        <v>50.404</v>
      </c>
    </row>
    <row r="840">
      <c r="A840" s="23">
        <f>IFERROR(__xludf.DUMMYFUNCTION("""COMPUTED_VALUE"""),45400.0)</f>
        <v>45400</v>
      </c>
      <c r="B840" s="21">
        <f>IFERROR(__xludf.DUMMYFUNCTION("""COMPUTED_VALUE"""),111.9)</f>
        <v>111.9</v>
      </c>
      <c r="C840" s="22">
        <f>IFERROR(__xludf.DUMMYFUNCTION("""COMPUTED_VALUE"""),95.37)</f>
        <v>95.37</v>
      </c>
      <c r="D840" s="22">
        <f>IFERROR(__xludf.DUMMYFUNCTION("""COMPUTED_VALUE"""),143.4)</f>
        <v>143.4</v>
      </c>
      <c r="E840" s="21">
        <f>IFERROR(__xludf.DUMMYFUNCTION("""COMPUTED_VALUE"""),86.64768728285715)</f>
        <v>86.64768728</v>
      </c>
      <c r="F840" s="21">
        <f>IFERROR(__xludf.DUMMYFUNCTION("""COMPUTED_VALUE"""),91.625)</f>
        <v>91.625</v>
      </c>
      <c r="G840" s="21">
        <f>IFERROR(__xludf.DUMMYFUNCTION("""COMPUTED_VALUE"""),50.404)</f>
        <v>50.404</v>
      </c>
    </row>
    <row r="841">
      <c r="A841" s="23">
        <f>IFERROR(__xludf.DUMMYFUNCTION("""COMPUTED_VALUE"""),45401.0)</f>
        <v>45401</v>
      </c>
      <c r="B841" s="21">
        <f>IFERROR(__xludf.DUMMYFUNCTION("""COMPUTED_VALUE"""),111.9)</f>
        <v>111.9</v>
      </c>
      <c r="C841" s="22">
        <f>IFERROR(__xludf.DUMMYFUNCTION("""COMPUTED_VALUE"""),95.37)</f>
        <v>95.37</v>
      </c>
      <c r="D841" s="22">
        <f>IFERROR(__xludf.DUMMYFUNCTION("""COMPUTED_VALUE"""),143.4)</f>
        <v>143.4</v>
      </c>
      <c r="E841" s="21">
        <f>IFERROR(__xludf.DUMMYFUNCTION("""COMPUTED_VALUE"""),88.87850542)</f>
        <v>88.87850542</v>
      </c>
      <c r="F841" s="21">
        <f>IFERROR(__xludf.DUMMYFUNCTION("""COMPUTED_VALUE"""),91.625)</f>
        <v>91.625</v>
      </c>
      <c r="G841" s="21">
        <f>IFERROR(__xludf.DUMMYFUNCTION("""COMPUTED_VALUE"""),50.404)</f>
        <v>50.404</v>
      </c>
    </row>
    <row r="842">
      <c r="A842" s="23">
        <f>IFERROR(__xludf.DUMMYFUNCTION("""COMPUTED_VALUE"""),45402.0)</f>
        <v>45402</v>
      </c>
      <c r="B842" s="21">
        <f>IFERROR(__xludf.DUMMYFUNCTION("""COMPUTED_VALUE"""),111.9)</f>
        <v>111.9</v>
      </c>
      <c r="C842" s="22">
        <f>IFERROR(__xludf.DUMMYFUNCTION("""COMPUTED_VALUE"""),95.37)</f>
        <v>95.37</v>
      </c>
      <c r="D842" s="22">
        <f>IFERROR(__xludf.DUMMYFUNCTION("""COMPUTED_VALUE"""),143.4)</f>
        <v>143.4</v>
      </c>
      <c r="E842" s="21">
        <f>IFERROR(__xludf.DUMMYFUNCTION("""COMPUTED_VALUE"""),91.8071701042857)</f>
        <v>91.8071701</v>
      </c>
      <c r="F842" s="21">
        <f>IFERROR(__xludf.DUMMYFUNCTION("""COMPUTED_VALUE"""),91.625)</f>
        <v>91.625</v>
      </c>
      <c r="G842" s="21">
        <f>IFERROR(__xludf.DUMMYFUNCTION("""COMPUTED_VALUE"""),50.404)</f>
        <v>50.404</v>
      </c>
    </row>
    <row r="843">
      <c r="A843" s="23">
        <f>IFERROR(__xludf.DUMMYFUNCTION("""COMPUTED_VALUE"""),45403.0)</f>
        <v>45403</v>
      </c>
      <c r="B843" s="21">
        <f>IFERROR(__xludf.DUMMYFUNCTION("""COMPUTED_VALUE"""),111.9)</f>
        <v>111.9</v>
      </c>
      <c r="C843" s="22">
        <f>IFERROR(__xludf.DUMMYFUNCTION("""COMPUTED_VALUE"""),95.37)</f>
        <v>95.37</v>
      </c>
      <c r="D843" s="22">
        <f>IFERROR(__xludf.DUMMYFUNCTION("""COMPUTED_VALUE"""),143.4)</f>
        <v>143.4</v>
      </c>
      <c r="E843" s="21">
        <f>IFERROR(__xludf.DUMMYFUNCTION("""COMPUTED_VALUE"""),92.38135836142858)</f>
        <v>92.38135836</v>
      </c>
      <c r="F843" s="21">
        <f>IFERROR(__xludf.DUMMYFUNCTION("""COMPUTED_VALUE"""),91.625)</f>
        <v>91.625</v>
      </c>
      <c r="G843" s="21">
        <f>IFERROR(__xludf.DUMMYFUNCTION("""COMPUTED_VALUE"""),50.404)</f>
        <v>50.404</v>
      </c>
    </row>
    <row r="844">
      <c r="A844" s="23">
        <f>IFERROR(__xludf.DUMMYFUNCTION("""COMPUTED_VALUE"""),45404.0)</f>
        <v>45404</v>
      </c>
      <c r="B844" s="21">
        <f>IFERROR(__xludf.DUMMYFUNCTION("""COMPUTED_VALUE"""),110.49)</f>
        <v>110.49</v>
      </c>
      <c r="C844" s="22">
        <f>IFERROR(__xludf.DUMMYFUNCTION("""COMPUTED_VALUE"""),93.41)</f>
        <v>93.41</v>
      </c>
      <c r="D844" s="22">
        <f>IFERROR(__xludf.DUMMYFUNCTION("""COMPUTED_VALUE"""),140.68)</f>
        <v>140.68</v>
      </c>
      <c r="E844" s="21">
        <f>IFERROR(__xludf.DUMMYFUNCTION("""COMPUTED_VALUE"""),95.04742225142857)</f>
        <v>95.04742225</v>
      </c>
      <c r="F844" s="21">
        <f>IFERROR(__xludf.DUMMYFUNCTION("""COMPUTED_VALUE"""),92.63442857142857)</f>
        <v>92.63442857</v>
      </c>
      <c r="G844" s="21">
        <f>IFERROR(__xludf.DUMMYFUNCTION("""COMPUTED_VALUE"""),50.404)</f>
        <v>50.404</v>
      </c>
    </row>
    <row r="845">
      <c r="A845" s="23">
        <f>IFERROR(__xludf.DUMMYFUNCTION("""COMPUTED_VALUE"""),45405.0)</f>
        <v>45405</v>
      </c>
      <c r="B845" s="21">
        <f>IFERROR(__xludf.DUMMYFUNCTION("""COMPUTED_VALUE"""),110.49)</f>
        <v>110.49</v>
      </c>
      <c r="C845" s="22">
        <f>IFERROR(__xludf.DUMMYFUNCTION("""COMPUTED_VALUE"""),93.41)</f>
        <v>93.41</v>
      </c>
      <c r="D845" s="22">
        <f>IFERROR(__xludf.DUMMYFUNCTION("""COMPUTED_VALUE"""),140.68)</f>
        <v>140.68</v>
      </c>
      <c r="E845" s="21">
        <f>IFERROR(__xludf.DUMMYFUNCTION("""COMPUTED_VALUE"""),99.18226870857143)</f>
        <v>99.18226871</v>
      </c>
      <c r="F845" s="21">
        <f>IFERROR(__xludf.DUMMYFUNCTION("""COMPUTED_VALUE"""),93.64385714285716)</f>
        <v>93.64385714</v>
      </c>
      <c r="G845" s="21">
        <f>IFERROR(__xludf.DUMMYFUNCTION("""COMPUTED_VALUE"""),50.404)</f>
        <v>50.404</v>
      </c>
    </row>
    <row r="846">
      <c r="A846" s="23">
        <f>IFERROR(__xludf.DUMMYFUNCTION("""COMPUTED_VALUE"""),45406.0)</f>
        <v>45406</v>
      </c>
      <c r="B846" s="21">
        <f>IFERROR(__xludf.DUMMYFUNCTION("""COMPUTED_VALUE"""),110.49)</f>
        <v>110.49</v>
      </c>
      <c r="C846" s="22">
        <f>IFERROR(__xludf.DUMMYFUNCTION("""COMPUTED_VALUE"""),93.41)</f>
        <v>93.41</v>
      </c>
      <c r="D846" s="22">
        <f>IFERROR(__xludf.DUMMYFUNCTION("""COMPUTED_VALUE"""),140.68)</f>
        <v>140.68</v>
      </c>
      <c r="E846" s="21">
        <f>IFERROR(__xludf.DUMMYFUNCTION("""COMPUTED_VALUE"""),98.53609385142856)</f>
        <v>98.53609385</v>
      </c>
      <c r="F846" s="21">
        <f>IFERROR(__xludf.DUMMYFUNCTION("""COMPUTED_VALUE"""),94.65328571428573)</f>
        <v>94.65328571</v>
      </c>
      <c r="G846" s="21">
        <f>IFERROR(__xludf.DUMMYFUNCTION("""COMPUTED_VALUE"""),50.404)</f>
        <v>50.404</v>
      </c>
    </row>
    <row r="847">
      <c r="A847" s="23">
        <f>IFERROR(__xludf.DUMMYFUNCTION("""COMPUTED_VALUE"""),45407.0)</f>
        <v>45407</v>
      </c>
      <c r="B847" s="21">
        <f>IFERROR(__xludf.DUMMYFUNCTION("""COMPUTED_VALUE"""),110.49)</f>
        <v>110.49</v>
      </c>
      <c r="C847" s="22">
        <f>IFERROR(__xludf.DUMMYFUNCTION("""COMPUTED_VALUE"""),93.41)</f>
        <v>93.41</v>
      </c>
      <c r="D847" s="22">
        <f>IFERROR(__xludf.DUMMYFUNCTION("""COMPUTED_VALUE"""),140.68)</f>
        <v>140.68</v>
      </c>
      <c r="E847" s="21">
        <f>IFERROR(__xludf.DUMMYFUNCTION("""COMPUTED_VALUE"""),96.92998892285713)</f>
        <v>96.92998892</v>
      </c>
      <c r="F847" s="21">
        <f>IFERROR(__xludf.DUMMYFUNCTION("""COMPUTED_VALUE"""),95.6627142857143)</f>
        <v>95.66271429</v>
      </c>
      <c r="G847" s="21">
        <f>IFERROR(__xludf.DUMMYFUNCTION("""COMPUTED_VALUE"""),50.404)</f>
        <v>50.404</v>
      </c>
    </row>
    <row r="848">
      <c r="A848" s="23">
        <f>IFERROR(__xludf.DUMMYFUNCTION("""COMPUTED_VALUE"""),45408.0)</f>
        <v>45408</v>
      </c>
      <c r="B848" s="21">
        <f>IFERROR(__xludf.DUMMYFUNCTION("""COMPUTED_VALUE"""),110.49)</f>
        <v>110.49</v>
      </c>
      <c r="C848" s="22">
        <f>IFERROR(__xludf.DUMMYFUNCTION("""COMPUTED_VALUE"""),93.41)</f>
        <v>93.41</v>
      </c>
      <c r="D848" s="22">
        <f>IFERROR(__xludf.DUMMYFUNCTION("""COMPUTED_VALUE"""),140.68)</f>
        <v>140.68</v>
      </c>
      <c r="E848" s="21">
        <f>IFERROR(__xludf.DUMMYFUNCTION("""COMPUTED_VALUE"""),101.38602131857142)</f>
        <v>101.3860213</v>
      </c>
      <c r="F848" s="21">
        <f>IFERROR(__xludf.DUMMYFUNCTION("""COMPUTED_VALUE"""),96.67214285714287)</f>
        <v>96.67214286</v>
      </c>
      <c r="G848" s="21">
        <f>IFERROR(__xludf.DUMMYFUNCTION("""COMPUTED_VALUE"""),50.404)</f>
        <v>50.404</v>
      </c>
    </row>
    <row r="849">
      <c r="A849" s="23">
        <f>IFERROR(__xludf.DUMMYFUNCTION("""COMPUTED_VALUE"""),45409.0)</f>
        <v>45409</v>
      </c>
      <c r="B849" s="21">
        <f>IFERROR(__xludf.DUMMYFUNCTION("""COMPUTED_VALUE"""),110.49)</f>
        <v>110.49</v>
      </c>
      <c r="C849" s="22">
        <f>IFERROR(__xludf.DUMMYFUNCTION("""COMPUTED_VALUE"""),93.41)</f>
        <v>93.41</v>
      </c>
      <c r="D849" s="22">
        <f>IFERROR(__xludf.DUMMYFUNCTION("""COMPUTED_VALUE"""),140.68)</f>
        <v>140.68</v>
      </c>
      <c r="E849" s="21">
        <f>IFERROR(__xludf.DUMMYFUNCTION("""COMPUTED_VALUE"""),102.85191804142858)</f>
        <v>102.851918</v>
      </c>
      <c r="F849" s="21">
        <f>IFERROR(__xludf.DUMMYFUNCTION("""COMPUTED_VALUE"""),97.68157142857144)</f>
        <v>97.68157143</v>
      </c>
      <c r="G849" s="21">
        <f>IFERROR(__xludf.DUMMYFUNCTION("""COMPUTED_VALUE"""),50.404)</f>
        <v>50.404</v>
      </c>
    </row>
    <row r="850">
      <c r="A850" s="23">
        <f>IFERROR(__xludf.DUMMYFUNCTION("""COMPUTED_VALUE"""),45410.0)</f>
        <v>45410</v>
      </c>
      <c r="B850" s="21">
        <f>IFERROR(__xludf.DUMMYFUNCTION("""COMPUTED_VALUE"""),110.49)</f>
        <v>110.49</v>
      </c>
      <c r="C850" s="22">
        <f>IFERROR(__xludf.DUMMYFUNCTION("""COMPUTED_VALUE"""),93.41)</f>
        <v>93.41</v>
      </c>
      <c r="D850" s="22">
        <f>IFERROR(__xludf.DUMMYFUNCTION("""COMPUTED_VALUE"""),140.68)</f>
        <v>140.68</v>
      </c>
      <c r="E850" s="21">
        <f>IFERROR(__xludf.DUMMYFUNCTION("""COMPUTED_VALUE"""),103.80175980428571)</f>
        <v>103.8017598</v>
      </c>
      <c r="F850" s="21">
        <f>IFERROR(__xludf.DUMMYFUNCTION("""COMPUTED_VALUE"""),98.69100000000002)</f>
        <v>98.691</v>
      </c>
      <c r="G850" s="21">
        <f>IFERROR(__xludf.DUMMYFUNCTION("""COMPUTED_VALUE"""),50.404)</f>
        <v>50.404</v>
      </c>
    </row>
    <row r="851">
      <c r="A851" s="23">
        <f>IFERROR(__xludf.DUMMYFUNCTION("""COMPUTED_VALUE"""),45411.0)</f>
        <v>45411</v>
      </c>
      <c r="B851" s="21">
        <f>IFERROR(__xludf.DUMMYFUNCTION("""COMPUTED_VALUE"""),110.49)</f>
        <v>110.49</v>
      </c>
      <c r="C851" s="22">
        <f>IFERROR(__xludf.DUMMYFUNCTION("""COMPUTED_VALUE"""),93.41)</f>
        <v>93.41</v>
      </c>
      <c r="D851" s="22">
        <f>IFERROR(__xludf.DUMMYFUNCTION("""COMPUTED_VALUE"""),140.68)</f>
        <v>140.68</v>
      </c>
      <c r="E851" s="21">
        <f>IFERROR(__xludf.DUMMYFUNCTION("""COMPUTED_VALUE"""),100.32968488571429)</f>
        <v>100.3296849</v>
      </c>
      <c r="F851" s="21">
        <f>IFERROR(__xludf.DUMMYFUNCTION("""COMPUTED_VALUE"""),100.20514285714286)</f>
        <v>100.2051429</v>
      </c>
      <c r="G851" s="21">
        <f>IFERROR(__xludf.DUMMYFUNCTION("""COMPUTED_VALUE"""),50.404)</f>
        <v>50.404</v>
      </c>
    </row>
    <row r="852">
      <c r="A852" s="23">
        <f>IFERROR(__xludf.DUMMYFUNCTION("""COMPUTED_VALUE"""),45412.0)</f>
        <v>45412</v>
      </c>
      <c r="B852" s="21">
        <f>IFERROR(__xludf.DUMMYFUNCTION("""COMPUTED_VALUE"""),110.49)</f>
        <v>110.49</v>
      </c>
      <c r="C852" s="22">
        <f>IFERROR(__xludf.DUMMYFUNCTION("""COMPUTED_VALUE"""),93.41)</f>
        <v>93.41</v>
      </c>
      <c r="D852" s="22">
        <f>IFERROR(__xludf.DUMMYFUNCTION("""COMPUTED_VALUE"""),140.68)</f>
        <v>140.68</v>
      </c>
      <c r="E852" s="21">
        <f>IFERROR(__xludf.DUMMYFUNCTION("""COMPUTED_VALUE"""),97.24592324000001)</f>
        <v>97.24592324</v>
      </c>
      <c r="F852" s="21">
        <f>IFERROR(__xludf.DUMMYFUNCTION("""COMPUTED_VALUE"""),101.7192857142857)</f>
        <v>101.7192857</v>
      </c>
      <c r="G852" s="21">
        <f>IFERROR(__xludf.DUMMYFUNCTION("""COMPUTED_VALUE"""),50.404)</f>
        <v>50.404</v>
      </c>
    </row>
    <row r="853">
      <c r="A853" s="20">
        <f>IFERROR(__xludf.DUMMYFUNCTION("""COMPUTED_VALUE"""),45413.0)</f>
        <v>45413</v>
      </c>
      <c r="B853" s="21">
        <f>IFERROR(__xludf.DUMMYFUNCTION("""COMPUTED_VALUE"""),110.49)</f>
        <v>110.49</v>
      </c>
      <c r="C853" s="22">
        <f>IFERROR(__xludf.DUMMYFUNCTION("""COMPUTED_VALUE"""),93.41)</f>
        <v>93.41</v>
      </c>
      <c r="D853" s="22">
        <f>IFERROR(__xludf.DUMMYFUNCTION("""COMPUTED_VALUE"""),140.68)</f>
        <v>140.68</v>
      </c>
      <c r="E853" s="21">
        <f>IFERROR(__xludf.DUMMYFUNCTION("""COMPUTED_VALUE"""),95.57283307571429)</f>
        <v>95.57283308</v>
      </c>
      <c r="F853" s="21">
        <f>IFERROR(__xludf.DUMMYFUNCTION("""COMPUTED_VALUE"""),103.23342857142858)</f>
        <v>103.2334286</v>
      </c>
      <c r="G853" s="21">
        <f>IFERROR(__xludf.DUMMYFUNCTION("""COMPUTED_VALUE"""),50.404)</f>
        <v>50.404</v>
      </c>
    </row>
    <row r="854">
      <c r="A854" s="20">
        <f>IFERROR(__xludf.DUMMYFUNCTION("""COMPUTED_VALUE"""),45414.0)</f>
        <v>45414</v>
      </c>
      <c r="B854" s="21">
        <f>IFERROR(__xludf.DUMMYFUNCTION("""COMPUTED_VALUE"""),110.49)</f>
        <v>110.49</v>
      </c>
      <c r="C854" s="22">
        <f>IFERROR(__xludf.DUMMYFUNCTION("""COMPUTED_VALUE"""),93.41)</f>
        <v>93.41</v>
      </c>
      <c r="D854" s="22">
        <f>IFERROR(__xludf.DUMMYFUNCTION("""COMPUTED_VALUE"""),140.68)</f>
        <v>140.68</v>
      </c>
      <c r="E854" s="21">
        <f>IFERROR(__xludf.DUMMYFUNCTION("""COMPUTED_VALUE"""),94.90774603714284)</f>
        <v>94.90774604</v>
      </c>
      <c r="F854" s="21">
        <f>IFERROR(__xludf.DUMMYFUNCTION("""COMPUTED_VALUE"""),104.74757142857142)</f>
        <v>104.7475714</v>
      </c>
      <c r="G854" s="21">
        <f>IFERROR(__xludf.DUMMYFUNCTION("""COMPUTED_VALUE"""),50.404)</f>
        <v>50.404</v>
      </c>
    </row>
    <row r="855">
      <c r="A855" s="20">
        <f>IFERROR(__xludf.DUMMYFUNCTION("""COMPUTED_VALUE"""),45415.0)</f>
        <v>45415</v>
      </c>
      <c r="B855" s="21">
        <f>IFERROR(__xludf.DUMMYFUNCTION("""COMPUTED_VALUE"""),110.49)</f>
        <v>110.49</v>
      </c>
      <c r="C855" s="22">
        <f>IFERROR(__xludf.DUMMYFUNCTION("""COMPUTED_VALUE"""),93.41)</f>
        <v>93.41</v>
      </c>
      <c r="D855" s="22">
        <f>IFERROR(__xludf.DUMMYFUNCTION("""COMPUTED_VALUE"""),140.68)</f>
        <v>140.68</v>
      </c>
      <c r="E855" s="21">
        <f>IFERROR(__xludf.DUMMYFUNCTION("""COMPUTED_VALUE"""),88.95381396285714)</f>
        <v>88.95381396</v>
      </c>
      <c r="F855" s="21">
        <f>IFERROR(__xludf.DUMMYFUNCTION("""COMPUTED_VALUE"""),106.26171428571429)</f>
        <v>106.2617143</v>
      </c>
      <c r="G855" s="21">
        <f>IFERROR(__xludf.DUMMYFUNCTION("""COMPUTED_VALUE"""),50.404)</f>
        <v>50.404</v>
      </c>
    </row>
    <row r="856">
      <c r="A856" s="20">
        <f>IFERROR(__xludf.DUMMYFUNCTION("""COMPUTED_VALUE"""),45416.0)</f>
        <v>45416</v>
      </c>
      <c r="B856" s="21">
        <f>IFERROR(__xludf.DUMMYFUNCTION("""COMPUTED_VALUE"""),110.49)</f>
        <v>110.49</v>
      </c>
      <c r="C856" s="22">
        <f>IFERROR(__xludf.DUMMYFUNCTION("""COMPUTED_VALUE"""),93.41)</f>
        <v>93.41</v>
      </c>
      <c r="D856" s="22">
        <f>IFERROR(__xludf.DUMMYFUNCTION("""COMPUTED_VALUE"""),140.68)</f>
        <v>140.68</v>
      </c>
      <c r="E856" s="21">
        <f>IFERROR(__xludf.DUMMYFUNCTION("""COMPUTED_VALUE"""),86.01529770142858)</f>
        <v>86.0152977</v>
      </c>
      <c r="F856" s="21">
        <f>IFERROR(__xludf.DUMMYFUNCTION("""COMPUTED_VALUE"""),107.77585714285713)</f>
        <v>107.7758571</v>
      </c>
      <c r="G856" s="21">
        <f>IFERROR(__xludf.DUMMYFUNCTION("""COMPUTED_VALUE"""),50.404)</f>
        <v>50.404</v>
      </c>
    </row>
    <row r="857">
      <c r="A857" s="20">
        <f>IFERROR(__xludf.DUMMYFUNCTION("""COMPUTED_VALUE"""),45417.0)</f>
        <v>45417</v>
      </c>
      <c r="B857" s="21">
        <f>IFERROR(__xludf.DUMMYFUNCTION("""COMPUTED_VALUE"""),110.49)</f>
        <v>110.49</v>
      </c>
      <c r="C857" s="22">
        <f>IFERROR(__xludf.DUMMYFUNCTION("""COMPUTED_VALUE"""),93.41)</f>
        <v>93.41</v>
      </c>
      <c r="D857" s="22">
        <f>IFERROR(__xludf.DUMMYFUNCTION("""COMPUTED_VALUE"""),140.68)</f>
        <v>140.68</v>
      </c>
      <c r="E857" s="21">
        <f>IFERROR(__xludf.DUMMYFUNCTION("""COMPUTED_VALUE"""),83.43855814714287)</f>
        <v>83.43855815</v>
      </c>
      <c r="F857" s="21">
        <f>IFERROR(__xludf.DUMMYFUNCTION("""COMPUTED_VALUE"""),109.28999999999999)</f>
        <v>109.29</v>
      </c>
      <c r="G857" s="21">
        <f>IFERROR(__xludf.DUMMYFUNCTION("""COMPUTED_VALUE"""),50.404)</f>
        <v>50.404</v>
      </c>
    </row>
    <row r="858">
      <c r="A858" s="20">
        <f>IFERROR(__xludf.DUMMYFUNCTION("""COMPUTED_VALUE"""),45418.0)</f>
        <v>45418</v>
      </c>
      <c r="B858" s="21">
        <f>IFERROR(__xludf.DUMMYFUNCTION("""COMPUTED_VALUE"""),110.49)</f>
        <v>110.49</v>
      </c>
      <c r="C858" s="22">
        <f>IFERROR(__xludf.DUMMYFUNCTION("""COMPUTED_VALUE"""),93.41)</f>
        <v>93.41</v>
      </c>
      <c r="D858" s="22">
        <f>IFERROR(__xludf.DUMMYFUNCTION("""COMPUTED_VALUE"""),140.68)</f>
        <v>140.68</v>
      </c>
      <c r="E858" s="21">
        <f>IFERROR(__xludf.DUMMYFUNCTION("""COMPUTED_VALUE"""),85.81956510857142)</f>
        <v>85.81956511</v>
      </c>
      <c r="F858" s="21">
        <f>IFERROR(__xludf.DUMMYFUNCTION("""COMPUTED_VALUE"""),109.28999999999999)</f>
        <v>109.29</v>
      </c>
      <c r="G858" s="21">
        <f>IFERROR(__xludf.DUMMYFUNCTION("""COMPUTED_VALUE"""),50.404)</f>
        <v>50.404</v>
      </c>
    </row>
    <row r="859">
      <c r="A859" s="20">
        <f>IFERROR(__xludf.DUMMYFUNCTION("""COMPUTED_VALUE"""),45419.0)</f>
        <v>45419</v>
      </c>
      <c r="B859" s="21">
        <f>IFERROR(__xludf.DUMMYFUNCTION("""COMPUTED_VALUE"""),110.49)</f>
        <v>110.49</v>
      </c>
      <c r="C859" s="22">
        <f>IFERROR(__xludf.DUMMYFUNCTION("""COMPUTED_VALUE"""),93.41)</f>
        <v>93.41</v>
      </c>
      <c r="D859" s="22">
        <f>IFERROR(__xludf.DUMMYFUNCTION("""COMPUTED_VALUE"""),140.68)</f>
        <v>140.68</v>
      </c>
      <c r="E859" s="21">
        <f>IFERROR(__xludf.DUMMYFUNCTION("""COMPUTED_VALUE"""),89.43113991142857)</f>
        <v>89.43113991</v>
      </c>
      <c r="F859" s="21">
        <f>IFERROR(__xludf.DUMMYFUNCTION("""COMPUTED_VALUE"""),109.28999999999999)</f>
        <v>109.29</v>
      </c>
      <c r="G859" s="21">
        <f>IFERROR(__xludf.DUMMYFUNCTION("""COMPUTED_VALUE"""),50.404)</f>
        <v>50.404</v>
      </c>
    </row>
    <row r="860">
      <c r="A860" s="20">
        <f>IFERROR(__xludf.DUMMYFUNCTION("""COMPUTED_VALUE"""),45420.0)</f>
        <v>45420</v>
      </c>
      <c r="B860" s="21">
        <f>IFERROR(__xludf.DUMMYFUNCTION("""COMPUTED_VALUE"""),110.49)</f>
        <v>110.49</v>
      </c>
      <c r="C860" s="22">
        <f>IFERROR(__xludf.DUMMYFUNCTION("""COMPUTED_VALUE"""),93.41)</f>
        <v>93.41</v>
      </c>
      <c r="D860" s="22">
        <f>IFERROR(__xludf.DUMMYFUNCTION("""COMPUTED_VALUE"""),140.68)</f>
        <v>140.68</v>
      </c>
      <c r="E860" s="21">
        <f>IFERROR(__xludf.DUMMYFUNCTION("""COMPUTED_VALUE"""),91.0154113757143)</f>
        <v>91.01541138</v>
      </c>
      <c r="F860" s="21">
        <f>IFERROR(__xludf.DUMMYFUNCTION("""COMPUTED_VALUE"""),109.28999999999999)</f>
        <v>109.29</v>
      </c>
      <c r="G860" s="21">
        <f>IFERROR(__xludf.DUMMYFUNCTION("""COMPUTED_VALUE"""),50.404)</f>
        <v>50.404</v>
      </c>
    </row>
    <row r="861">
      <c r="A861" s="20">
        <f>IFERROR(__xludf.DUMMYFUNCTION("""COMPUTED_VALUE"""),45421.0)</f>
        <v>45421</v>
      </c>
      <c r="B861" s="21">
        <f>IFERROR(__xludf.DUMMYFUNCTION("""COMPUTED_VALUE"""),110.49)</f>
        <v>110.49</v>
      </c>
      <c r="C861" s="22">
        <f>IFERROR(__xludf.DUMMYFUNCTION("""COMPUTED_VALUE"""),93.41)</f>
        <v>93.41</v>
      </c>
      <c r="D861" s="22">
        <f>IFERROR(__xludf.DUMMYFUNCTION("""COMPUTED_VALUE"""),140.68)</f>
        <v>140.68</v>
      </c>
      <c r="E861" s="21">
        <f>IFERROR(__xludf.DUMMYFUNCTION("""COMPUTED_VALUE"""),90.73560875857143)</f>
        <v>90.73560876</v>
      </c>
      <c r="F861" s="21">
        <f>IFERROR(__xludf.DUMMYFUNCTION("""COMPUTED_VALUE"""),109.28999999999999)</f>
        <v>109.29</v>
      </c>
      <c r="G861" s="21">
        <f>IFERROR(__xludf.DUMMYFUNCTION("""COMPUTED_VALUE"""),50.404)</f>
        <v>50.404</v>
      </c>
    </row>
    <row r="862">
      <c r="A862" s="20">
        <f>IFERROR(__xludf.DUMMYFUNCTION("""COMPUTED_VALUE"""),45422.0)</f>
        <v>45422</v>
      </c>
      <c r="B862" s="21">
        <f>IFERROR(__xludf.DUMMYFUNCTION("""COMPUTED_VALUE"""),110.49)</f>
        <v>110.49</v>
      </c>
      <c r="C862" s="22">
        <f>IFERROR(__xludf.DUMMYFUNCTION("""COMPUTED_VALUE"""),93.41)</f>
        <v>93.41</v>
      </c>
      <c r="D862" s="22">
        <f>IFERROR(__xludf.DUMMYFUNCTION("""COMPUTED_VALUE"""),140.68)</f>
        <v>140.68</v>
      </c>
      <c r="E862" s="21">
        <f>IFERROR(__xludf.DUMMYFUNCTION("""COMPUTED_VALUE"""),90.93606293428572)</f>
        <v>90.93606293</v>
      </c>
      <c r="F862" s="21">
        <f>IFERROR(__xludf.DUMMYFUNCTION("""COMPUTED_VALUE"""),109.28999999999999)</f>
        <v>109.29</v>
      </c>
      <c r="G862" s="21">
        <f>IFERROR(__xludf.DUMMYFUNCTION("""COMPUTED_VALUE"""),50.404)</f>
        <v>50.404</v>
      </c>
    </row>
    <row r="863">
      <c r="A863" s="20">
        <f>IFERROR(__xludf.DUMMYFUNCTION("""COMPUTED_VALUE"""),45423.0)</f>
        <v>45423</v>
      </c>
      <c r="B863" s="21">
        <f>IFERROR(__xludf.DUMMYFUNCTION("""COMPUTED_VALUE"""),110.49)</f>
        <v>110.49</v>
      </c>
      <c r="C863" s="22">
        <f>IFERROR(__xludf.DUMMYFUNCTION("""COMPUTED_VALUE"""),93.41)</f>
        <v>93.41</v>
      </c>
      <c r="D863" s="22">
        <f>IFERROR(__xludf.DUMMYFUNCTION("""COMPUTED_VALUE"""),140.68)</f>
        <v>140.68</v>
      </c>
      <c r="E863" s="21">
        <f>IFERROR(__xludf.DUMMYFUNCTION("""COMPUTED_VALUE"""),91.10708937428572)</f>
        <v>91.10708937</v>
      </c>
      <c r="F863" s="21">
        <f>IFERROR(__xludf.DUMMYFUNCTION("""COMPUTED_VALUE"""),109.28999999999999)</f>
        <v>109.29</v>
      </c>
      <c r="G863" s="21">
        <f>IFERROR(__xludf.DUMMYFUNCTION("""COMPUTED_VALUE"""),50.404)</f>
        <v>50.404</v>
      </c>
    </row>
    <row r="864">
      <c r="A864" s="20">
        <f>IFERROR(__xludf.DUMMYFUNCTION("""COMPUTED_VALUE"""),45424.0)</f>
        <v>45424</v>
      </c>
      <c r="B864" s="21">
        <f>IFERROR(__xludf.DUMMYFUNCTION("""COMPUTED_VALUE"""),110.49)</f>
        <v>110.49</v>
      </c>
      <c r="C864" s="22">
        <f>IFERROR(__xludf.DUMMYFUNCTION("""COMPUTED_VALUE"""),93.41)</f>
        <v>93.41</v>
      </c>
      <c r="D864" s="22">
        <f>IFERROR(__xludf.DUMMYFUNCTION("""COMPUTED_VALUE"""),140.68)</f>
        <v>140.68</v>
      </c>
      <c r="E864" s="21">
        <f>IFERROR(__xludf.DUMMYFUNCTION("""COMPUTED_VALUE"""),91.56728003714287)</f>
        <v>91.56728004</v>
      </c>
      <c r="F864" s="21">
        <f>IFERROR(__xludf.DUMMYFUNCTION("""COMPUTED_VALUE"""),109.28999999999999)</f>
        <v>109.29</v>
      </c>
      <c r="G864" s="21">
        <f>IFERROR(__xludf.DUMMYFUNCTION("""COMPUTED_VALUE"""),50.404)</f>
        <v>50.404</v>
      </c>
    </row>
    <row r="865">
      <c r="A865" s="23">
        <f>IFERROR(__xludf.DUMMYFUNCTION("""COMPUTED_VALUE"""),45425.0)</f>
        <v>45425</v>
      </c>
      <c r="B865" s="21">
        <f>IFERROR(__xludf.DUMMYFUNCTION("""COMPUTED_VALUE"""),109.93)</f>
        <v>109.93</v>
      </c>
      <c r="C865" s="22">
        <f>IFERROR(__xludf.DUMMYFUNCTION("""COMPUTED_VALUE"""),93.46)</f>
        <v>93.46</v>
      </c>
      <c r="D865" s="22">
        <f>IFERROR(__xludf.DUMMYFUNCTION("""COMPUTED_VALUE"""),146.0)</f>
        <v>146</v>
      </c>
      <c r="E865" s="21">
        <f>IFERROR(__xludf.DUMMYFUNCTION("""COMPUTED_VALUE"""),86.57280197857143)</f>
        <v>86.57280198</v>
      </c>
      <c r="F865" s="21">
        <f>IFERROR(__xludf.DUMMYFUNCTION("""COMPUTED_VALUE"""),109.28999999999999)</f>
        <v>109.29</v>
      </c>
      <c r="G865" s="21">
        <f>IFERROR(__xludf.DUMMYFUNCTION("""COMPUTED_VALUE"""),50.404)</f>
        <v>50.404</v>
      </c>
    </row>
    <row r="866">
      <c r="A866" s="23">
        <f>IFERROR(__xludf.DUMMYFUNCTION("""COMPUTED_VALUE"""),45426.0)</f>
        <v>45426</v>
      </c>
      <c r="B866" s="21">
        <f>IFERROR(__xludf.DUMMYFUNCTION("""COMPUTED_VALUE"""),109.93)</f>
        <v>109.93</v>
      </c>
      <c r="C866" s="22">
        <f>IFERROR(__xludf.DUMMYFUNCTION("""COMPUTED_VALUE"""),93.46)</f>
        <v>93.46</v>
      </c>
      <c r="D866" s="22">
        <f>IFERROR(__xludf.DUMMYFUNCTION("""COMPUTED_VALUE"""),146.0)</f>
        <v>146</v>
      </c>
      <c r="E866" s="21">
        <f>IFERROR(__xludf.DUMMYFUNCTION("""COMPUTED_VALUE"""),85.69783105)</f>
        <v>85.69783105</v>
      </c>
      <c r="F866" s="21">
        <f>IFERROR(__xludf.DUMMYFUNCTION("""COMPUTED_VALUE"""),109.28999999999999)</f>
        <v>109.29</v>
      </c>
      <c r="G866" s="21">
        <f>IFERROR(__xludf.DUMMYFUNCTION("""COMPUTED_VALUE"""),50.404)</f>
        <v>50.404</v>
      </c>
    </row>
    <row r="867">
      <c r="A867" s="23">
        <f>IFERROR(__xludf.DUMMYFUNCTION("""COMPUTED_VALUE"""),45427.0)</f>
        <v>45427</v>
      </c>
      <c r="B867" s="21">
        <f>IFERROR(__xludf.DUMMYFUNCTION("""COMPUTED_VALUE"""),109.93)</f>
        <v>109.93</v>
      </c>
      <c r="C867" s="22">
        <f>IFERROR(__xludf.DUMMYFUNCTION("""COMPUTED_VALUE"""),93.46)</f>
        <v>93.46</v>
      </c>
      <c r="D867" s="22">
        <f>IFERROR(__xludf.DUMMYFUNCTION("""COMPUTED_VALUE"""),146.0)</f>
        <v>146</v>
      </c>
      <c r="E867" s="21">
        <f>IFERROR(__xludf.DUMMYFUNCTION("""COMPUTED_VALUE"""),86.10522869285715)</f>
        <v>86.10522869</v>
      </c>
      <c r="F867" s="21">
        <f>IFERROR(__xludf.DUMMYFUNCTION("""COMPUTED_VALUE"""),109.28999999999999)</f>
        <v>109.29</v>
      </c>
      <c r="G867" s="21">
        <f>IFERROR(__xludf.DUMMYFUNCTION("""COMPUTED_VALUE"""),50.404)</f>
        <v>50.404</v>
      </c>
    </row>
    <row r="868">
      <c r="A868" s="23">
        <f>IFERROR(__xludf.DUMMYFUNCTION("""COMPUTED_VALUE"""),45428.0)</f>
        <v>45428</v>
      </c>
      <c r="B868" s="21">
        <f>IFERROR(__xludf.DUMMYFUNCTION("""COMPUTED_VALUE"""),109.93)</f>
        <v>109.93</v>
      </c>
      <c r="C868" s="22">
        <f>IFERROR(__xludf.DUMMYFUNCTION("""COMPUTED_VALUE"""),93.46)</f>
        <v>93.46</v>
      </c>
      <c r="D868" s="22">
        <f>IFERROR(__xludf.DUMMYFUNCTION("""COMPUTED_VALUE"""),146.0)</f>
        <v>146</v>
      </c>
      <c r="E868" s="21">
        <f>IFERROR(__xludf.DUMMYFUNCTION("""COMPUTED_VALUE"""),87.21251467285715)</f>
        <v>87.21251467</v>
      </c>
      <c r="F868" s="21">
        <f>IFERROR(__xludf.DUMMYFUNCTION("""COMPUTED_VALUE"""),109.28999999999999)</f>
        <v>109.29</v>
      </c>
      <c r="G868" s="21">
        <f>IFERROR(__xludf.DUMMYFUNCTION("""COMPUTED_VALUE"""),50.404)</f>
        <v>50.404</v>
      </c>
    </row>
    <row r="869">
      <c r="A869" s="23">
        <f>IFERROR(__xludf.DUMMYFUNCTION("""COMPUTED_VALUE"""),45429.0)</f>
        <v>45429</v>
      </c>
      <c r="B869" s="21">
        <f>IFERROR(__xludf.DUMMYFUNCTION("""COMPUTED_VALUE"""),109.93)</f>
        <v>109.93</v>
      </c>
      <c r="C869" s="22">
        <f>IFERROR(__xludf.DUMMYFUNCTION("""COMPUTED_VALUE"""),93.46)</f>
        <v>93.46</v>
      </c>
      <c r="D869" s="22">
        <f>IFERROR(__xludf.DUMMYFUNCTION("""COMPUTED_VALUE"""),146.0)</f>
        <v>146</v>
      </c>
      <c r="E869" s="21">
        <f>IFERROR(__xludf.DUMMYFUNCTION("""COMPUTED_VALUE"""),88.99908826714285)</f>
        <v>88.99908827</v>
      </c>
      <c r="F869" s="21">
        <f>IFERROR(__xludf.DUMMYFUNCTION("""COMPUTED_VALUE"""),109.28999999999999)</f>
        <v>109.29</v>
      </c>
      <c r="G869" s="21">
        <f>IFERROR(__xludf.DUMMYFUNCTION("""COMPUTED_VALUE"""),50.404)</f>
        <v>50.404</v>
      </c>
    </row>
    <row r="870">
      <c r="A870" s="23">
        <f>IFERROR(__xludf.DUMMYFUNCTION("""COMPUTED_VALUE"""),45430.0)</f>
        <v>45430</v>
      </c>
      <c r="B870" s="21">
        <f>IFERROR(__xludf.DUMMYFUNCTION("""COMPUTED_VALUE"""),109.93)</f>
        <v>109.93</v>
      </c>
      <c r="C870" s="22">
        <f>IFERROR(__xludf.DUMMYFUNCTION("""COMPUTED_VALUE"""),93.46)</f>
        <v>93.46</v>
      </c>
      <c r="D870" s="22">
        <f>IFERROR(__xludf.DUMMYFUNCTION("""COMPUTED_VALUE"""),146.0)</f>
        <v>146</v>
      </c>
      <c r="E870" s="21">
        <f>IFERROR(__xludf.DUMMYFUNCTION("""COMPUTED_VALUE"""),90.87847212428572)</f>
        <v>90.87847212</v>
      </c>
      <c r="F870" s="21">
        <f>IFERROR(__xludf.DUMMYFUNCTION("""COMPUTED_VALUE"""),109.28999999999999)</f>
        <v>109.29</v>
      </c>
      <c r="G870" s="21">
        <f>IFERROR(__xludf.DUMMYFUNCTION("""COMPUTED_VALUE"""),50.404)</f>
        <v>50.404</v>
      </c>
    </row>
    <row r="871">
      <c r="A871" s="23">
        <f>IFERROR(__xludf.DUMMYFUNCTION("""COMPUTED_VALUE"""),45431.0)</f>
        <v>45431</v>
      </c>
      <c r="B871" s="21">
        <f>IFERROR(__xludf.DUMMYFUNCTION("""COMPUTED_VALUE"""),109.93)</f>
        <v>109.93</v>
      </c>
      <c r="C871" s="22">
        <f>IFERROR(__xludf.DUMMYFUNCTION("""COMPUTED_VALUE"""),93.46)</f>
        <v>93.46</v>
      </c>
      <c r="D871" s="22">
        <f>IFERROR(__xludf.DUMMYFUNCTION("""COMPUTED_VALUE"""),146.0)</f>
        <v>146</v>
      </c>
      <c r="E871" s="21">
        <f>IFERROR(__xludf.DUMMYFUNCTION("""COMPUTED_VALUE"""),93.49817738)</f>
        <v>93.49817738</v>
      </c>
      <c r="F871" s="21">
        <f>IFERROR(__xludf.DUMMYFUNCTION("""COMPUTED_VALUE"""),109.28999999999999)</f>
        <v>109.29</v>
      </c>
      <c r="G871" s="21">
        <f>IFERROR(__xludf.DUMMYFUNCTION("""COMPUTED_VALUE"""),50.404)</f>
        <v>50.404</v>
      </c>
    </row>
    <row r="872">
      <c r="A872" s="23">
        <f>IFERROR(__xludf.DUMMYFUNCTION("""COMPUTED_VALUE"""),45432.0)</f>
        <v>45432</v>
      </c>
      <c r="B872" s="21">
        <f>IFERROR(__xludf.DUMMYFUNCTION("""COMPUTED_VALUE"""),109.93)</f>
        <v>109.93</v>
      </c>
      <c r="C872" s="22">
        <f>IFERROR(__xludf.DUMMYFUNCTION("""COMPUTED_VALUE"""),93.46)</f>
        <v>93.46</v>
      </c>
      <c r="D872" s="22">
        <f>IFERROR(__xludf.DUMMYFUNCTION("""COMPUTED_VALUE"""),146.0)</f>
        <v>146</v>
      </c>
      <c r="E872" s="21">
        <f>IFERROR(__xludf.DUMMYFUNCTION("""COMPUTED_VALUE"""),97.84753022428572)</f>
        <v>97.84753022</v>
      </c>
      <c r="F872" s="21">
        <f>IFERROR(__xludf.DUMMYFUNCTION("""COMPUTED_VALUE"""),109.28999999999999)</f>
        <v>109.29</v>
      </c>
      <c r="G872" s="21">
        <f>IFERROR(__xludf.DUMMYFUNCTION("""COMPUTED_VALUE"""),50.404)</f>
        <v>50.404</v>
      </c>
    </row>
    <row r="873">
      <c r="A873" s="23">
        <f>IFERROR(__xludf.DUMMYFUNCTION("""COMPUTED_VALUE"""),45433.0)</f>
        <v>45433</v>
      </c>
      <c r="B873" s="21">
        <f>IFERROR(__xludf.DUMMYFUNCTION("""COMPUTED_VALUE"""),109.93)</f>
        <v>109.93</v>
      </c>
      <c r="C873" s="22">
        <f>IFERROR(__xludf.DUMMYFUNCTION("""COMPUTED_VALUE"""),93.46)</f>
        <v>93.46</v>
      </c>
      <c r="D873" s="22">
        <f>IFERROR(__xludf.DUMMYFUNCTION("""COMPUTED_VALUE"""),146.0)</f>
        <v>146</v>
      </c>
      <c r="E873" s="21">
        <f>IFERROR(__xludf.DUMMYFUNCTION("""COMPUTED_VALUE"""),96.53873200428573)</f>
        <v>96.538732</v>
      </c>
      <c r="F873" s="21">
        <f>IFERROR(__xludf.DUMMYFUNCTION("""COMPUTED_VALUE"""),109.28999999999999)</f>
        <v>109.29</v>
      </c>
      <c r="G873" s="21">
        <f>IFERROR(__xludf.DUMMYFUNCTION("""COMPUTED_VALUE"""),50.404)</f>
        <v>50.404</v>
      </c>
    </row>
    <row r="874">
      <c r="A874" s="23">
        <f>IFERROR(__xludf.DUMMYFUNCTION("""COMPUTED_VALUE"""),45434.0)</f>
        <v>45434</v>
      </c>
      <c r="B874" s="21">
        <f>IFERROR(__xludf.DUMMYFUNCTION("""COMPUTED_VALUE"""),109.93)</f>
        <v>109.93</v>
      </c>
      <c r="C874" s="22">
        <f>IFERROR(__xludf.DUMMYFUNCTION("""COMPUTED_VALUE"""),93.46)</f>
        <v>93.46</v>
      </c>
      <c r="D874" s="22">
        <f>IFERROR(__xludf.DUMMYFUNCTION("""COMPUTED_VALUE"""),146.0)</f>
        <v>146</v>
      </c>
      <c r="E874" s="21">
        <f>IFERROR(__xludf.DUMMYFUNCTION("""COMPUTED_VALUE"""),95.38071401857144)</f>
        <v>95.38071402</v>
      </c>
      <c r="F874" s="21">
        <f>IFERROR(__xludf.DUMMYFUNCTION("""COMPUTED_VALUE"""),109.28999999999999)</f>
        <v>109.29</v>
      </c>
      <c r="G874" s="21">
        <f>IFERROR(__xludf.DUMMYFUNCTION("""COMPUTED_VALUE"""),50.404)</f>
        <v>50.404</v>
      </c>
    </row>
    <row r="875">
      <c r="A875" s="23">
        <f>IFERROR(__xludf.DUMMYFUNCTION("""COMPUTED_VALUE"""),45435.0)</f>
        <v>45435</v>
      </c>
      <c r="B875" s="21">
        <f>IFERROR(__xludf.DUMMYFUNCTION("""COMPUTED_VALUE"""),109.93)</f>
        <v>109.93</v>
      </c>
      <c r="C875" s="22">
        <f>IFERROR(__xludf.DUMMYFUNCTION("""COMPUTED_VALUE"""),93.46)</f>
        <v>93.46</v>
      </c>
      <c r="D875" s="22">
        <f>IFERROR(__xludf.DUMMYFUNCTION("""COMPUTED_VALUE"""),146.0)</f>
        <v>146</v>
      </c>
      <c r="E875" s="21">
        <f>IFERROR(__xludf.DUMMYFUNCTION("""COMPUTED_VALUE"""),95.86874435142859)</f>
        <v>95.86874435</v>
      </c>
      <c r="F875" s="21">
        <f>IFERROR(__xludf.DUMMYFUNCTION("""COMPUTED_VALUE"""),109.28999999999999)</f>
        <v>109.29</v>
      </c>
      <c r="G875" s="21">
        <f>IFERROR(__xludf.DUMMYFUNCTION("""COMPUTED_VALUE"""),50.404)</f>
        <v>50.404</v>
      </c>
    </row>
    <row r="876">
      <c r="A876" s="23">
        <f>IFERROR(__xludf.DUMMYFUNCTION("""COMPUTED_VALUE"""),45436.0)</f>
        <v>45436</v>
      </c>
      <c r="B876" s="21">
        <f>IFERROR(__xludf.DUMMYFUNCTION("""COMPUTED_VALUE"""),109.93)</f>
        <v>109.93</v>
      </c>
      <c r="C876" s="22">
        <f>IFERROR(__xludf.DUMMYFUNCTION("""COMPUTED_VALUE"""),93.46)</f>
        <v>93.46</v>
      </c>
      <c r="D876" s="22">
        <f>IFERROR(__xludf.DUMMYFUNCTION("""COMPUTED_VALUE"""),146.0)</f>
        <v>146</v>
      </c>
      <c r="E876" s="21">
        <f>IFERROR(__xludf.DUMMYFUNCTION("""COMPUTED_VALUE"""),97.94288882714287)</f>
        <v>97.94288883</v>
      </c>
      <c r="F876" s="21">
        <f>IFERROR(__xludf.DUMMYFUNCTION("""COMPUTED_VALUE"""),109.28999999999999)</f>
        <v>109.29</v>
      </c>
      <c r="G876" s="21">
        <f>IFERROR(__xludf.DUMMYFUNCTION("""COMPUTED_VALUE"""),50.404)</f>
        <v>50.404</v>
      </c>
    </row>
    <row r="877">
      <c r="A877" s="23">
        <f>IFERROR(__xludf.DUMMYFUNCTION("""COMPUTED_VALUE"""),45437.0)</f>
        <v>45437</v>
      </c>
      <c r="B877" s="21">
        <f>IFERROR(__xludf.DUMMYFUNCTION("""COMPUTED_VALUE"""),112.23)</f>
        <v>112.23</v>
      </c>
      <c r="C877" s="22">
        <f>IFERROR(__xludf.DUMMYFUNCTION("""COMPUTED_VALUE"""),95.41)</f>
        <v>95.41</v>
      </c>
      <c r="D877" s="22">
        <f>IFERROR(__xludf.DUMMYFUNCTION("""COMPUTED_VALUE"""),151.0)</f>
        <v>151</v>
      </c>
      <c r="E877" s="21">
        <f>IFERROR(__xludf.DUMMYFUNCTION("""COMPUTED_VALUE"""),99.32823494857143)</f>
        <v>99.32823495</v>
      </c>
      <c r="F877" s="21">
        <f>IFERROR(__xludf.DUMMYFUNCTION("""COMPUTED_VALUE"""),109.28999999999999)</f>
        <v>109.29</v>
      </c>
      <c r="G877" s="21">
        <f>IFERROR(__xludf.DUMMYFUNCTION("""COMPUTED_VALUE"""),50.404)</f>
        <v>50.404</v>
      </c>
    </row>
    <row r="878">
      <c r="A878" s="23">
        <f>IFERROR(__xludf.DUMMYFUNCTION("""COMPUTED_VALUE"""),45438.0)</f>
        <v>45438</v>
      </c>
      <c r="B878" s="21">
        <f>IFERROR(__xludf.DUMMYFUNCTION("""COMPUTED_VALUE"""),112.23)</f>
        <v>112.23</v>
      </c>
      <c r="C878" s="22">
        <f>IFERROR(__xludf.DUMMYFUNCTION("""COMPUTED_VALUE"""),95.41)</f>
        <v>95.41</v>
      </c>
      <c r="D878" s="22">
        <f>IFERROR(__xludf.DUMMYFUNCTION("""COMPUTED_VALUE"""),151.0)</f>
        <v>151</v>
      </c>
      <c r="E878" s="21">
        <f>IFERROR(__xludf.DUMMYFUNCTION("""COMPUTED_VALUE"""),96.84439245857143)</f>
        <v>96.84439246</v>
      </c>
      <c r="F878" s="21">
        <f>IFERROR(__xludf.DUMMYFUNCTION("""COMPUTED_VALUE"""),109.28999999999999)</f>
        <v>109.29</v>
      </c>
      <c r="G878" s="21">
        <f>IFERROR(__xludf.DUMMYFUNCTION("""COMPUTED_VALUE"""),50.404)</f>
        <v>50.404</v>
      </c>
    </row>
    <row r="879">
      <c r="A879" s="23">
        <f>IFERROR(__xludf.DUMMYFUNCTION("""COMPUTED_VALUE"""),45439.0)</f>
        <v>45439</v>
      </c>
      <c r="B879" s="21">
        <f>IFERROR(__xludf.DUMMYFUNCTION("""COMPUTED_VALUE"""),112.23)</f>
        <v>112.23</v>
      </c>
      <c r="C879" s="22">
        <f>IFERROR(__xludf.DUMMYFUNCTION("""COMPUTED_VALUE"""),95.41)</f>
        <v>95.41</v>
      </c>
      <c r="D879" s="22">
        <f>IFERROR(__xludf.DUMMYFUNCTION("""COMPUTED_VALUE"""),151.0)</f>
        <v>151</v>
      </c>
      <c r="E879" s="21">
        <f>IFERROR(__xludf.DUMMYFUNCTION("""COMPUTED_VALUE"""),98.26928837285716)</f>
        <v>98.26928837</v>
      </c>
      <c r="F879" s="21">
        <f>IFERROR(__xludf.DUMMYFUNCTION("""COMPUTED_VALUE"""),109.28999999999999)</f>
        <v>109.29</v>
      </c>
      <c r="G879" s="21">
        <f>IFERROR(__xludf.DUMMYFUNCTION("""COMPUTED_VALUE"""),50.404)</f>
        <v>50.404</v>
      </c>
    </row>
    <row r="880">
      <c r="A880" s="23">
        <f>IFERROR(__xludf.DUMMYFUNCTION("""COMPUTED_VALUE"""),45440.0)</f>
        <v>45440</v>
      </c>
      <c r="B880" s="21">
        <f>IFERROR(__xludf.DUMMYFUNCTION("""COMPUTED_VALUE"""),112.23)</f>
        <v>112.23</v>
      </c>
      <c r="C880" s="22">
        <f>IFERROR(__xludf.DUMMYFUNCTION("""COMPUTED_VALUE"""),95.41)</f>
        <v>95.41</v>
      </c>
      <c r="D880" s="22">
        <f>IFERROR(__xludf.DUMMYFUNCTION("""COMPUTED_VALUE"""),151.0)</f>
        <v>151</v>
      </c>
      <c r="E880" s="21">
        <f>IFERROR(__xludf.DUMMYFUNCTION("""COMPUTED_VALUE"""),101.73800622142856)</f>
        <v>101.7380062</v>
      </c>
      <c r="F880" s="21">
        <f>IFERROR(__xludf.DUMMYFUNCTION("""COMPUTED_VALUE"""),109.28999999999999)</f>
        <v>109.29</v>
      </c>
      <c r="G880" s="21">
        <f>IFERROR(__xludf.DUMMYFUNCTION("""COMPUTED_VALUE"""),50.404)</f>
        <v>50.404</v>
      </c>
    </row>
    <row r="881">
      <c r="A881" s="23">
        <f>IFERROR(__xludf.DUMMYFUNCTION("""COMPUTED_VALUE"""),45441.0)</f>
        <v>45441</v>
      </c>
      <c r="B881" s="21">
        <f>IFERROR(__xludf.DUMMYFUNCTION("""COMPUTED_VALUE"""),112.23)</f>
        <v>112.23</v>
      </c>
      <c r="C881" s="22">
        <f>IFERROR(__xludf.DUMMYFUNCTION("""COMPUTED_VALUE"""),95.41)</f>
        <v>95.41</v>
      </c>
      <c r="D881" s="22">
        <f>IFERROR(__xludf.DUMMYFUNCTION("""COMPUTED_VALUE"""),151.0)</f>
        <v>151</v>
      </c>
      <c r="E881" s="21">
        <f>IFERROR(__xludf.DUMMYFUNCTION("""COMPUTED_VALUE"""),104.60748140714286)</f>
        <v>104.6074814</v>
      </c>
      <c r="F881" s="21">
        <f>IFERROR(__xludf.DUMMYFUNCTION("""COMPUTED_VALUE"""),109.28999999999999)</f>
        <v>109.29</v>
      </c>
      <c r="G881" s="21">
        <f>IFERROR(__xludf.DUMMYFUNCTION("""COMPUTED_VALUE"""),50.404)</f>
        <v>50.404</v>
      </c>
    </row>
    <row r="882">
      <c r="A882" s="23">
        <f>IFERROR(__xludf.DUMMYFUNCTION("""COMPUTED_VALUE"""),45442.0)</f>
        <v>45442</v>
      </c>
      <c r="B882" s="21">
        <f>IFERROR(__xludf.DUMMYFUNCTION("""COMPUTED_VALUE"""),112.23)</f>
        <v>112.23</v>
      </c>
      <c r="C882" s="22">
        <f>IFERROR(__xludf.DUMMYFUNCTION("""COMPUTED_VALUE"""),95.41)</f>
        <v>95.41</v>
      </c>
      <c r="D882" s="22">
        <f>IFERROR(__xludf.DUMMYFUNCTION("""COMPUTED_VALUE"""),151.0)</f>
        <v>151</v>
      </c>
      <c r="E882" s="21">
        <f>IFERROR(__xludf.DUMMYFUNCTION("""COMPUTED_VALUE"""),106.24497872142857)</f>
        <v>106.2449787</v>
      </c>
      <c r="F882" s="21">
        <f>IFERROR(__xludf.DUMMYFUNCTION("""COMPUTED_VALUE"""),109.28999999999999)</f>
        <v>109.29</v>
      </c>
      <c r="G882" s="21">
        <f>IFERROR(__xludf.DUMMYFUNCTION("""COMPUTED_VALUE"""),50.404)</f>
        <v>50.404</v>
      </c>
    </row>
    <row r="883">
      <c r="A883" s="23">
        <f>IFERROR(__xludf.DUMMYFUNCTION("""COMPUTED_VALUE"""),45443.0)</f>
        <v>45443</v>
      </c>
      <c r="B883" s="21">
        <f>IFERROR(__xludf.DUMMYFUNCTION("""COMPUTED_VALUE"""),112.23)</f>
        <v>112.23</v>
      </c>
      <c r="C883" s="22">
        <f>IFERROR(__xludf.DUMMYFUNCTION("""COMPUTED_VALUE"""),95.41)</f>
        <v>95.41</v>
      </c>
      <c r="D883" s="22">
        <f>IFERROR(__xludf.DUMMYFUNCTION("""COMPUTED_VALUE"""),151.0)</f>
        <v>151</v>
      </c>
      <c r="E883" s="21">
        <f>IFERROR(__xludf.DUMMYFUNCTION("""COMPUTED_VALUE"""),104.54925152142857)</f>
        <v>104.5492515</v>
      </c>
      <c r="F883" s="21">
        <f>IFERROR(__xludf.DUMMYFUNCTION("""COMPUTED_VALUE"""),109.28999999999999)</f>
        <v>109.29</v>
      </c>
      <c r="G883" s="21">
        <f>IFERROR(__xludf.DUMMYFUNCTION("""COMPUTED_VALUE"""),50.404)</f>
        <v>50.404</v>
      </c>
    </row>
    <row r="884">
      <c r="A884" s="20">
        <f>IFERROR(__xludf.DUMMYFUNCTION("""COMPUTED_VALUE"""),45444.0)</f>
        <v>45444</v>
      </c>
      <c r="B884" s="21">
        <f>IFERROR(__xludf.DUMMYFUNCTION("""COMPUTED_VALUE"""),112.23)</f>
        <v>112.23</v>
      </c>
      <c r="C884" s="22">
        <f>IFERROR(__xludf.DUMMYFUNCTION("""COMPUTED_VALUE"""),95.41)</f>
        <v>95.41</v>
      </c>
      <c r="D884" s="22">
        <f>IFERROR(__xludf.DUMMYFUNCTION("""COMPUTED_VALUE"""),151.0)</f>
        <v>151</v>
      </c>
      <c r="E884" s="21">
        <f>IFERROR(__xludf.DUMMYFUNCTION("""COMPUTED_VALUE"""),101.85548929)</f>
        <v>101.8554893</v>
      </c>
      <c r="F884" s="21">
        <f>IFERROR(__xludf.DUMMYFUNCTION("""COMPUTED_VALUE"""),109.28999999999999)</f>
        <v>109.29</v>
      </c>
      <c r="G884" s="21">
        <f>IFERROR(__xludf.DUMMYFUNCTION("""COMPUTED_VALUE"""),50.404)</f>
        <v>50.404</v>
      </c>
    </row>
    <row r="885">
      <c r="A885" s="20">
        <f>IFERROR(__xludf.DUMMYFUNCTION("""COMPUTED_VALUE"""),45445.0)</f>
        <v>45445</v>
      </c>
      <c r="B885" s="21">
        <f>IFERROR(__xludf.DUMMYFUNCTION("""COMPUTED_VALUE"""),112.23)</f>
        <v>112.23</v>
      </c>
      <c r="C885" s="22">
        <f>IFERROR(__xludf.DUMMYFUNCTION("""COMPUTED_VALUE"""),95.41)</f>
        <v>95.41</v>
      </c>
      <c r="D885" s="22">
        <f>IFERROR(__xludf.DUMMYFUNCTION("""COMPUTED_VALUE"""),151.0)</f>
        <v>151</v>
      </c>
      <c r="E885" s="21">
        <f>IFERROR(__xludf.DUMMYFUNCTION("""COMPUTED_VALUE"""),103.35314215999999)</f>
        <v>103.3531422</v>
      </c>
      <c r="F885" s="21">
        <f>IFERROR(__xludf.DUMMYFUNCTION("""COMPUTED_VALUE"""),109.28999999999999)</f>
        <v>109.29</v>
      </c>
      <c r="G885" s="21">
        <f>IFERROR(__xludf.DUMMYFUNCTION("""COMPUTED_VALUE"""),50.404)</f>
        <v>50.404</v>
      </c>
    </row>
    <row r="886">
      <c r="A886" s="20">
        <f>IFERROR(__xludf.DUMMYFUNCTION("""COMPUTED_VALUE"""),45446.0)</f>
        <v>45446</v>
      </c>
      <c r="B886" s="21">
        <f>IFERROR(__xludf.DUMMYFUNCTION("""COMPUTED_VALUE"""),112.23)</f>
        <v>112.23</v>
      </c>
      <c r="C886" s="22">
        <f>IFERROR(__xludf.DUMMYFUNCTION("""COMPUTED_VALUE"""),95.41)</f>
        <v>95.41</v>
      </c>
      <c r="D886" s="22">
        <f>IFERROR(__xludf.DUMMYFUNCTION("""COMPUTED_VALUE"""),151.0)</f>
        <v>151</v>
      </c>
      <c r="E886" s="21">
        <f>IFERROR(__xludf.DUMMYFUNCTION("""COMPUTED_VALUE"""),103.74116343142857)</f>
        <v>103.7411634</v>
      </c>
      <c r="F886" s="21">
        <f>IFERROR(__xludf.DUMMYFUNCTION("""COMPUTED_VALUE"""),109.28999999999999)</f>
        <v>109.29</v>
      </c>
      <c r="G886" s="21">
        <f>IFERROR(__xludf.DUMMYFUNCTION("""COMPUTED_VALUE"""),50.404)</f>
        <v>50.404</v>
      </c>
    </row>
    <row r="887">
      <c r="A887" s="20">
        <f>IFERROR(__xludf.DUMMYFUNCTION("""COMPUTED_VALUE"""),45447.0)</f>
        <v>45447</v>
      </c>
      <c r="B887" s="21">
        <f>IFERROR(__xludf.DUMMYFUNCTION("""COMPUTED_VALUE"""),112.23)</f>
        <v>112.23</v>
      </c>
      <c r="C887" s="22">
        <f>IFERROR(__xludf.DUMMYFUNCTION("""COMPUTED_VALUE"""),95.41)</f>
        <v>95.41</v>
      </c>
      <c r="D887" s="22">
        <f>IFERROR(__xludf.DUMMYFUNCTION("""COMPUTED_VALUE"""),151.0)</f>
        <v>151</v>
      </c>
      <c r="E887" s="21">
        <f>IFERROR(__xludf.DUMMYFUNCTION("""COMPUTED_VALUE"""),103.63023596000001)</f>
        <v>103.630236</v>
      </c>
      <c r="F887" s="21">
        <f>IFERROR(__xludf.DUMMYFUNCTION("""COMPUTED_VALUE"""),109.28999999999999)</f>
        <v>109.29</v>
      </c>
      <c r="G887" s="21">
        <f>IFERROR(__xludf.DUMMYFUNCTION("""COMPUTED_VALUE"""),50.404)</f>
        <v>50.404</v>
      </c>
    </row>
    <row r="888">
      <c r="A888" s="20">
        <f>IFERROR(__xludf.DUMMYFUNCTION("""COMPUTED_VALUE"""),45448.0)</f>
        <v>45448</v>
      </c>
      <c r="B888" s="21">
        <f>IFERROR(__xludf.DUMMYFUNCTION("""COMPUTED_VALUE"""),112.23)</f>
        <v>112.23</v>
      </c>
      <c r="C888" s="22">
        <f>IFERROR(__xludf.DUMMYFUNCTION("""COMPUTED_VALUE"""),95.41)</f>
        <v>95.41</v>
      </c>
      <c r="D888" s="22">
        <f>IFERROR(__xludf.DUMMYFUNCTION("""COMPUTED_VALUE"""),151.0)</f>
        <v>151</v>
      </c>
      <c r="E888" s="21">
        <f>IFERROR(__xludf.DUMMYFUNCTION("""COMPUTED_VALUE"""),103.21055221714286)</f>
        <v>103.2105522</v>
      </c>
      <c r="F888" s="21">
        <f>IFERROR(__xludf.DUMMYFUNCTION("""COMPUTED_VALUE"""),109.28999999999999)</f>
        <v>109.29</v>
      </c>
      <c r="G888" s="21">
        <f>IFERROR(__xludf.DUMMYFUNCTION("""COMPUTED_VALUE"""),50.404)</f>
        <v>50.404</v>
      </c>
    </row>
    <row r="889">
      <c r="A889" s="20">
        <f>IFERROR(__xludf.DUMMYFUNCTION("""COMPUTED_VALUE"""),45449.0)</f>
        <v>45449</v>
      </c>
      <c r="B889" s="21">
        <f>IFERROR(__xludf.DUMMYFUNCTION("""COMPUTED_VALUE"""),112.23)</f>
        <v>112.23</v>
      </c>
      <c r="C889" s="22">
        <f>IFERROR(__xludf.DUMMYFUNCTION("""COMPUTED_VALUE"""),95.41)</f>
        <v>95.41</v>
      </c>
      <c r="D889" s="22">
        <f>IFERROR(__xludf.DUMMYFUNCTION("""COMPUTED_VALUE"""),151.0)</f>
        <v>151</v>
      </c>
      <c r="E889" s="21">
        <f>IFERROR(__xludf.DUMMYFUNCTION("""COMPUTED_VALUE"""),101.97496120285714)</f>
        <v>101.9749612</v>
      </c>
      <c r="F889" s="21">
        <f>IFERROR(__xludf.DUMMYFUNCTION("""COMPUTED_VALUE"""),109.28999999999999)</f>
        <v>109.29</v>
      </c>
      <c r="G889" s="21">
        <f>IFERROR(__xludf.DUMMYFUNCTION("""COMPUTED_VALUE"""),50.404)</f>
        <v>50.404</v>
      </c>
    </row>
    <row r="890">
      <c r="A890" s="20">
        <f>IFERROR(__xludf.DUMMYFUNCTION("""COMPUTED_VALUE"""),45450.0)</f>
        <v>45450</v>
      </c>
      <c r="B890" s="21">
        <f>IFERROR(__xludf.DUMMYFUNCTION("""COMPUTED_VALUE"""),112.23)</f>
        <v>112.23</v>
      </c>
      <c r="C890" s="22">
        <f>IFERROR(__xludf.DUMMYFUNCTION("""COMPUTED_VALUE"""),95.41)</f>
        <v>95.41</v>
      </c>
      <c r="D890" s="22">
        <f>IFERROR(__xludf.DUMMYFUNCTION("""COMPUTED_VALUE"""),151.0)</f>
        <v>151</v>
      </c>
      <c r="E890" s="21">
        <f>IFERROR(__xludf.DUMMYFUNCTION("""COMPUTED_VALUE"""),103.20391308857143)</f>
        <v>103.2039131</v>
      </c>
      <c r="F890" s="21">
        <f>IFERROR(__xludf.DUMMYFUNCTION("""COMPUTED_VALUE"""),109.28999999999999)</f>
        <v>109.29</v>
      </c>
      <c r="G890" s="21">
        <f>IFERROR(__xludf.DUMMYFUNCTION("""COMPUTED_VALUE"""),50.404)</f>
        <v>50.404</v>
      </c>
    </row>
    <row r="891">
      <c r="A891" s="20">
        <f>IFERROR(__xludf.DUMMYFUNCTION("""COMPUTED_VALUE"""),45451.0)</f>
        <v>45451</v>
      </c>
      <c r="B891" s="21">
        <f>IFERROR(__xludf.DUMMYFUNCTION("""COMPUTED_VALUE"""),112.23)</f>
        <v>112.23</v>
      </c>
      <c r="C891" s="22">
        <f>IFERROR(__xludf.DUMMYFUNCTION("""COMPUTED_VALUE"""),95.41)</f>
        <v>95.41</v>
      </c>
      <c r="D891" s="22">
        <f>IFERROR(__xludf.DUMMYFUNCTION("""COMPUTED_VALUE"""),151.0)</f>
        <v>151</v>
      </c>
      <c r="E891" s="21">
        <f>IFERROR(__xludf.DUMMYFUNCTION("""COMPUTED_VALUE"""),107.00571626285715)</f>
        <v>107.0057163</v>
      </c>
      <c r="F891" s="21">
        <f>IFERROR(__xludf.DUMMYFUNCTION("""COMPUTED_VALUE"""),109.28999999999999)</f>
        <v>109.29</v>
      </c>
      <c r="G891" s="21">
        <f>IFERROR(__xludf.DUMMYFUNCTION("""COMPUTED_VALUE"""),50.404)</f>
        <v>50.404</v>
      </c>
    </row>
    <row r="892">
      <c r="A892" s="20">
        <f>IFERROR(__xludf.DUMMYFUNCTION("""COMPUTED_VALUE"""),45452.0)</f>
        <v>45452</v>
      </c>
      <c r="B892" s="21">
        <f>IFERROR(__xludf.DUMMYFUNCTION("""COMPUTED_VALUE"""),112.23)</f>
        <v>112.23</v>
      </c>
      <c r="C892" s="22">
        <f>IFERROR(__xludf.DUMMYFUNCTION("""COMPUTED_VALUE"""),95.41)</f>
        <v>95.41</v>
      </c>
      <c r="D892" s="22">
        <f>IFERROR(__xludf.DUMMYFUNCTION("""COMPUTED_VALUE"""),151.0)</f>
        <v>151</v>
      </c>
      <c r="E892" s="21">
        <f>IFERROR(__xludf.DUMMYFUNCTION("""COMPUTED_VALUE"""),108.51013631000001)</f>
        <v>108.5101363</v>
      </c>
      <c r="F892" s="21">
        <f>IFERROR(__xludf.DUMMYFUNCTION("""COMPUTED_VALUE"""),109.28999999999999)</f>
        <v>109.29</v>
      </c>
      <c r="G892" s="21">
        <f>IFERROR(__xludf.DUMMYFUNCTION("""COMPUTED_VALUE"""),50.404)</f>
        <v>50.404</v>
      </c>
    </row>
    <row r="893">
      <c r="A893" s="20">
        <f>IFERROR(__xludf.DUMMYFUNCTION("""COMPUTED_VALUE"""),45453.0)</f>
        <v>45453</v>
      </c>
      <c r="B893" s="21">
        <f>IFERROR(__xludf.DUMMYFUNCTION("""COMPUTED_VALUE"""),112.23)</f>
        <v>112.23</v>
      </c>
      <c r="C893" s="22">
        <f>IFERROR(__xludf.DUMMYFUNCTION("""COMPUTED_VALUE"""),95.41)</f>
        <v>95.41</v>
      </c>
      <c r="D893" s="22">
        <f>IFERROR(__xludf.DUMMYFUNCTION("""COMPUTED_VALUE"""),151.0)</f>
        <v>151</v>
      </c>
      <c r="E893" s="21">
        <f>IFERROR(__xludf.DUMMYFUNCTION("""COMPUTED_VALUE"""),105.31211376)</f>
        <v>105.3121138</v>
      </c>
      <c r="F893" s="21">
        <f>IFERROR(__xludf.DUMMYFUNCTION("""COMPUTED_VALUE"""),109.28999999999999)</f>
        <v>109.29</v>
      </c>
      <c r="G893" s="21">
        <f>IFERROR(__xludf.DUMMYFUNCTION("""COMPUTED_VALUE"""),50.404)</f>
        <v>50.404</v>
      </c>
    </row>
    <row r="894">
      <c r="A894" s="20">
        <f>IFERROR(__xludf.DUMMYFUNCTION("""COMPUTED_VALUE"""),45454.0)</f>
        <v>45454</v>
      </c>
      <c r="B894" s="21">
        <f>IFERROR(__xludf.DUMMYFUNCTION("""COMPUTED_VALUE"""),114.56)</f>
        <v>114.56</v>
      </c>
      <c r="C894" s="22">
        <f>IFERROR(__xludf.DUMMYFUNCTION("""COMPUTED_VALUE"""),95.69)</f>
        <v>95.69</v>
      </c>
      <c r="D894" s="22">
        <f>IFERROR(__xludf.DUMMYFUNCTION("""COMPUTED_VALUE"""),154.31)</f>
        <v>154.31</v>
      </c>
      <c r="E894" s="21">
        <f>IFERROR(__xludf.DUMMYFUNCTION("""COMPUTED_VALUE"""),103.43763774571427)</f>
        <v>103.4376377</v>
      </c>
      <c r="F894" s="21">
        <f>IFERROR(__xludf.DUMMYFUNCTION("""COMPUTED_VALUE"""),109.28999999999999)</f>
        <v>109.29</v>
      </c>
      <c r="G894" s="21">
        <f>IFERROR(__xludf.DUMMYFUNCTION("""COMPUTED_VALUE"""),50.404)</f>
        <v>50.404</v>
      </c>
    </row>
    <row r="895">
      <c r="A895" s="20">
        <f>IFERROR(__xludf.DUMMYFUNCTION("""COMPUTED_VALUE"""),45455.0)</f>
        <v>45455</v>
      </c>
      <c r="B895" s="21">
        <f>IFERROR(__xludf.DUMMYFUNCTION("""COMPUTED_VALUE"""),114.56)</f>
        <v>114.56</v>
      </c>
      <c r="C895" s="22">
        <f>IFERROR(__xludf.DUMMYFUNCTION("""COMPUTED_VALUE"""),95.69)</f>
        <v>95.69</v>
      </c>
      <c r="D895" s="22">
        <f>IFERROR(__xludf.DUMMYFUNCTION("""COMPUTED_VALUE"""),154.31)</f>
        <v>154.31</v>
      </c>
      <c r="E895" s="21">
        <f>IFERROR(__xludf.DUMMYFUNCTION("""COMPUTED_VALUE"""),103.11521618857144)</f>
        <v>103.1152162</v>
      </c>
      <c r="F895" s="21">
        <f>IFERROR(__xludf.DUMMYFUNCTION("""COMPUTED_VALUE"""),109.28999999999999)</f>
        <v>109.29</v>
      </c>
      <c r="G895" s="21">
        <f>IFERROR(__xludf.DUMMYFUNCTION("""COMPUTED_VALUE"""),50.404)</f>
        <v>50.404</v>
      </c>
    </row>
    <row r="896">
      <c r="A896" s="23">
        <f>IFERROR(__xludf.DUMMYFUNCTION("""COMPUTED_VALUE"""),45456.0)</f>
        <v>45456</v>
      </c>
      <c r="B896" s="21">
        <f>IFERROR(__xludf.DUMMYFUNCTION("""COMPUTED_VALUE"""),114.56)</f>
        <v>114.56</v>
      </c>
      <c r="C896" s="22">
        <f>IFERROR(__xludf.DUMMYFUNCTION("""COMPUTED_VALUE"""),95.69)</f>
        <v>95.69</v>
      </c>
      <c r="D896" s="22">
        <f>IFERROR(__xludf.DUMMYFUNCTION("""COMPUTED_VALUE"""),154.31)</f>
        <v>154.31</v>
      </c>
      <c r="E896" s="21">
        <f>IFERROR(__xludf.DUMMYFUNCTION("""COMPUTED_VALUE"""),102.91361470285715)</f>
        <v>102.9136147</v>
      </c>
      <c r="F896" s="21">
        <f>IFERROR(__xludf.DUMMYFUNCTION("""COMPUTED_VALUE"""),109.28999999999999)</f>
        <v>109.29</v>
      </c>
      <c r="G896" s="21">
        <f>IFERROR(__xludf.DUMMYFUNCTION("""COMPUTED_VALUE"""),50.404)</f>
        <v>50.404</v>
      </c>
    </row>
    <row r="897">
      <c r="A897" s="23">
        <f>IFERROR(__xludf.DUMMYFUNCTION("""COMPUTED_VALUE"""),45457.0)</f>
        <v>45457</v>
      </c>
      <c r="B897" s="21">
        <f>IFERROR(__xludf.DUMMYFUNCTION("""COMPUTED_VALUE"""),114.56)</f>
        <v>114.56</v>
      </c>
      <c r="C897" s="22">
        <f>IFERROR(__xludf.DUMMYFUNCTION("""COMPUTED_VALUE"""),95.69)</f>
        <v>95.69</v>
      </c>
      <c r="D897" s="22">
        <f>IFERROR(__xludf.DUMMYFUNCTION("""COMPUTED_VALUE"""),154.31)</f>
        <v>154.31</v>
      </c>
      <c r="E897" s="21">
        <f>IFERROR(__xludf.DUMMYFUNCTION("""COMPUTED_VALUE"""),103.09037953142857)</f>
        <v>103.0903795</v>
      </c>
      <c r="F897" s="21">
        <f>IFERROR(__xludf.DUMMYFUNCTION("""COMPUTED_VALUE"""),109.28999999999999)</f>
        <v>109.29</v>
      </c>
      <c r="G897" s="21">
        <f>IFERROR(__xludf.DUMMYFUNCTION("""COMPUTED_VALUE"""),50.404)</f>
        <v>50.404</v>
      </c>
    </row>
    <row r="898">
      <c r="A898" s="23">
        <f>IFERROR(__xludf.DUMMYFUNCTION("""COMPUTED_VALUE"""),45458.0)</f>
        <v>45458</v>
      </c>
      <c r="B898" s="21">
        <f>IFERROR(__xludf.DUMMYFUNCTION("""COMPUTED_VALUE"""),114.56)</f>
        <v>114.56</v>
      </c>
      <c r="C898" s="22">
        <f>IFERROR(__xludf.DUMMYFUNCTION("""COMPUTED_VALUE"""),95.69)</f>
        <v>95.69</v>
      </c>
      <c r="D898" s="22">
        <f>IFERROR(__xludf.DUMMYFUNCTION("""COMPUTED_VALUE"""),154.31)</f>
        <v>154.31</v>
      </c>
      <c r="E898" s="21">
        <f>IFERROR(__xludf.DUMMYFUNCTION("""COMPUTED_VALUE"""),101.49535609714287)</f>
        <v>101.4953561</v>
      </c>
      <c r="F898" s="21">
        <f>IFERROR(__xludf.DUMMYFUNCTION("""COMPUTED_VALUE"""),109.28999999999999)</f>
        <v>109.29</v>
      </c>
      <c r="G898" s="21">
        <f>IFERROR(__xludf.DUMMYFUNCTION("""COMPUTED_VALUE"""),50.404)</f>
        <v>50.404</v>
      </c>
    </row>
    <row r="899">
      <c r="A899" s="23">
        <f>IFERROR(__xludf.DUMMYFUNCTION("""COMPUTED_VALUE"""),45459.0)</f>
        <v>45459</v>
      </c>
      <c r="B899" s="21">
        <f>IFERROR(__xludf.DUMMYFUNCTION("""COMPUTED_VALUE"""),114.56)</f>
        <v>114.56</v>
      </c>
      <c r="C899" s="22">
        <f>IFERROR(__xludf.DUMMYFUNCTION("""COMPUTED_VALUE"""),95.69)</f>
        <v>95.69</v>
      </c>
      <c r="D899" s="22">
        <f>IFERROR(__xludf.DUMMYFUNCTION("""COMPUTED_VALUE"""),154.31)</f>
        <v>154.31</v>
      </c>
      <c r="E899" s="21">
        <f>IFERROR(__xludf.DUMMYFUNCTION("""COMPUTED_VALUE"""),99.68195724285715)</f>
        <v>99.68195724</v>
      </c>
      <c r="F899" s="21">
        <f>IFERROR(__xludf.DUMMYFUNCTION("""COMPUTED_VALUE"""),109.28999999999999)</f>
        <v>109.29</v>
      </c>
      <c r="G899" s="21">
        <f>IFERROR(__xludf.DUMMYFUNCTION("""COMPUTED_VALUE"""),50.404)</f>
        <v>50.404</v>
      </c>
    </row>
    <row r="900">
      <c r="A900" s="23">
        <f>IFERROR(__xludf.DUMMYFUNCTION("""COMPUTED_VALUE"""),45460.0)</f>
        <v>45460</v>
      </c>
      <c r="B900" s="21">
        <f>IFERROR(__xludf.DUMMYFUNCTION("""COMPUTED_VALUE"""),114.56)</f>
        <v>114.56</v>
      </c>
      <c r="C900" s="22">
        <f>IFERROR(__xludf.DUMMYFUNCTION("""COMPUTED_VALUE"""),95.69)</f>
        <v>95.69</v>
      </c>
      <c r="D900" s="22">
        <f>IFERROR(__xludf.DUMMYFUNCTION("""COMPUTED_VALUE"""),154.31)</f>
        <v>154.31</v>
      </c>
      <c r="E900" s="21">
        <f>IFERROR(__xludf.DUMMYFUNCTION("""COMPUTED_VALUE"""),103.52200352142857)</f>
        <v>103.5220035</v>
      </c>
      <c r="F900" s="21">
        <f>IFERROR(__xludf.DUMMYFUNCTION("""COMPUTED_VALUE"""),109.28999999999999)</f>
        <v>109.29</v>
      </c>
      <c r="G900" s="21">
        <f>IFERROR(__xludf.DUMMYFUNCTION("""COMPUTED_VALUE"""),50.404)</f>
        <v>50.404</v>
      </c>
    </row>
    <row r="901">
      <c r="A901" s="23">
        <f>IFERROR(__xludf.DUMMYFUNCTION("""COMPUTED_VALUE"""),45461.0)</f>
        <v>45461</v>
      </c>
      <c r="B901" s="21">
        <f>IFERROR(__xludf.DUMMYFUNCTION("""COMPUTED_VALUE"""),114.56)</f>
        <v>114.56</v>
      </c>
      <c r="C901" s="22">
        <f>IFERROR(__xludf.DUMMYFUNCTION("""COMPUTED_VALUE"""),95.69)</f>
        <v>95.69</v>
      </c>
      <c r="D901" s="22">
        <f>IFERROR(__xludf.DUMMYFUNCTION("""COMPUTED_VALUE"""),154.31)</f>
        <v>154.31</v>
      </c>
      <c r="E901" s="21">
        <f>IFERROR(__xludf.DUMMYFUNCTION("""COMPUTED_VALUE"""),104.16473902142857)</f>
        <v>104.164739</v>
      </c>
      <c r="F901" s="21">
        <f>IFERROR(__xludf.DUMMYFUNCTION("""COMPUTED_VALUE"""),109.28999999999999)</f>
        <v>109.29</v>
      </c>
      <c r="G901" s="21">
        <f>IFERROR(__xludf.DUMMYFUNCTION("""COMPUTED_VALUE"""),50.404)</f>
        <v>50.404</v>
      </c>
    </row>
    <row r="902">
      <c r="A902" s="23">
        <f>IFERROR(__xludf.DUMMYFUNCTION("""COMPUTED_VALUE"""),45462.0)</f>
        <v>45462</v>
      </c>
      <c r="B902" s="21">
        <f>IFERROR(__xludf.DUMMYFUNCTION("""COMPUTED_VALUE"""),114.56)</f>
        <v>114.56</v>
      </c>
      <c r="C902" s="22">
        <f>IFERROR(__xludf.DUMMYFUNCTION("""COMPUTED_VALUE"""),95.69)</f>
        <v>95.69</v>
      </c>
      <c r="D902" s="22">
        <f>IFERROR(__xludf.DUMMYFUNCTION("""COMPUTED_VALUE"""),154.31)</f>
        <v>154.31</v>
      </c>
      <c r="E902" s="21">
        <f>IFERROR(__xludf.DUMMYFUNCTION("""COMPUTED_VALUE"""),104.38676197857144)</f>
        <v>104.386762</v>
      </c>
      <c r="F902" s="21">
        <f>IFERROR(__xludf.DUMMYFUNCTION("""COMPUTED_VALUE"""),109.28999999999999)</f>
        <v>109.29</v>
      </c>
      <c r="G902" s="21">
        <f>IFERROR(__xludf.DUMMYFUNCTION("""COMPUTED_VALUE"""),50.404)</f>
        <v>50.404</v>
      </c>
    </row>
    <row r="903">
      <c r="A903" s="23">
        <f>IFERROR(__xludf.DUMMYFUNCTION("""COMPUTED_VALUE"""),45463.0)</f>
        <v>45463</v>
      </c>
      <c r="B903" s="21">
        <f>IFERROR(__xludf.DUMMYFUNCTION("""COMPUTED_VALUE"""),114.56)</f>
        <v>114.56</v>
      </c>
      <c r="C903" s="22">
        <f>IFERROR(__xludf.DUMMYFUNCTION("""COMPUTED_VALUE"""),95.69)</f>
        <v>95.69</v>
      </c>
      <c r="D903" s="22">
        <f>IFERROR(__xludf.DUMMYFUNCTION("""COMPUTED_VALUE"""),154.31)</f>
        <v>154.31</v>
      </c>
      <c r="E903" s="21">
        <f>IFERROR(__xludf.DUMMYFUNCTION("""COMPUTED_VALUE"""),106.20136162142856)</f>
        <v>106.2013616</v>
      </c>
      <c r="F903" s="21">
        <f>IFERROR(__xludf.DUMMYFUNCTION("""COMPUTED_VALUE"""),109.28999999999999)</f>
        <v>109.29</v>
      </c>
      <c r="G903" s="21">
        <f>IFERROR(__xludf.DUMMYFUNCTION("""COMPUTED_VALUE"""),50.404)</f>
        <v>50.404</v>
      </c>
    </row>
    <row r="904">
      <c r="A904" s="23">
        <f>IFERROR(__xludf.DUMMYFUNCTION("""COMPUTED_VALUE"""),45464.0)</f>
        <v>45464</v>
      </c>
      <c r="B904" s="21">
        <f>IFERROR(__xludf.DUMMYFUNCTION("""COMPUTED_VALUE"""),114.56)</f>
        <v>114.56</v>
      </c>
      <c r="C904" s="22">
        <f>IFERROR(__xludf.DUMMYFUNCTION("""COMPUTED_VALUE"""),95.69)</f>
        <v>95.69</v>
      </c>
      <c r="D904" s="22">
        <f>IFERROR(__xludf.DUMMYFUNCTION("""COMPUTED_VALUE"""),154.31)</f>
        <v>154.31</v>
      </c>
      <c r="E904" s="21">
        <f>IFERROR(__xludf.DUMMYFUNCTION("""COMPUTED_VALUE"""),107.58073559285712)</f>
        <v>107.5807356</v>
      </c>
      <c r="F904" s="21">
        <f>IFERROR(__xludf.DUMMYFUNCTION("""COMPUTED_VALUE"""),109.28999999999999)</f>
        <v>109.29</v>
      </c>
      <c r="G904" s="21">
        <f>IFERROR(__xludf.DUMMYFUNCTION("""COMPUTED_VALUE"""),50.404)</f>
        <v>50.404</v>
      </c>
    </row>
    <row r="905">
      <c r="A905" s="23">
        <f>IFERROR(__xludf.DUMMYFUNCTION("""COMPUTED_VALUE"""),45465.0)</f>
        <v>45465</v>
      </c>
      <c r="B905" s="21">
        <f>IFERROR(__xludf.DUMMYFUNCTION("""COMPUTED_VALUE"""),114.56)</f>
        <v>114.56</v>
      </c>
      <c r="C905" s="22">
        <f>IFERROR(__xludf.DUMMYFUNCTION("""COMPUTED_VALUE"""),95.69)</f>
        <v>95.69</v>
      </c>
      <c r="D905" s="22">
        <f>IFERROR(__xludf.DUMMYFUNCTION("""COMPUTED_VALUE"""),154.31)</f>
        <v>154.31</v>
      </c>
      <c r="E905" s="21">
        <f>IFERROR(__xludf.DUMMYFUNCTION("""COMPUTED_VALUE"""),107.47222831285714)</f>
        <v>107.4722283</v>
      </c>
      <c r="F905" s="21">
        <f>IFERROR(__xludf.DUMMYFUNCTION("""COMPUTED_VALUE"""),109.28999999999999)</f>
        <v>109.29</v>
      </c>
      <c r="G905" s="21">
        <f>IFERROR(__xludf.DUMMYFUNCTION("""COMPUTED_VALUE"""),50.404)</f>
        <v>50.404</v>
      </c>
    </row>
    <row r="906">
      <c r="A906" s="23">
        <f>IFERROR(__xludf.DUMMYFUNCTION("""COMPUTED_VALUE"""),45466.0)</f>
        <v>45466</v>
      </c>
      <c r="B906" s="21">
        <f>IFERROR(__xludf.DUMMYFUNCTION("""COMPUTED_VALUE"""),114.56)</f>
        <v>114.56</v>
      </c>
      <c r="C906" s="22">
        <f>IFERROR(__xludf.DUMMYFUNCTION("""COMPUTED_VALUE"""),95.69)</f>
        <v>95.69</v>
      </c>
      <c r="D906" s="22">
        <f>IFERROR(__xludf.DUMMYFUNCTION("""COMPUTED_VALUE"""),154.31)</f>
        <v>154.31</v>
      </c>
      <c r="E906" s="21">
        <f>IFERROR(__xludf.DUMMYFUNCTION("""COMPUTED_VALUE"""),110.76118812857145)</f>
        <v>110.7611881</v>
      </c>
      <c r="F906" s="21">
        <f>IFERROR(__xludf.DUMMYFUNCTION("""COMPUTED_VALUE"""),109.28999999999999)</f>
        <v>109.29</v>
      </c>
      <c r="G906" s="21">
        <f>IFERROR(__xludf.DUMMYFUNCTION("""COMPUTED_VALUE"""),50.404)</f>
        <v>50.404</v>
      </c>
    </row>
    <row r="907">
      <c r="A907" s="23">
        <f>IFERROR(__xludf.DUMMYFUNCTION("""COMPUTED_VALUE"""),45467.0)</f>
        <v>45467</v>
      </c>
      <c r="B907" s="21">
        <f>IFERROR(__xludf.DUMMYFUNCTION("""COMPUTED_VALUE"""),113.89)</f>
        <v>113.89</v>
      </c>
      <c r="C907" s="22">
        <f>IFERROR(__xludf.DUMMYFUNCTION("""COMPUTED_VALUE"""),90.417)</f>
        <v>90.417</v>
      </c>
      <c r="D907" s="22">
        <f>IFERROR(__xludf.DUMMYFUNCTION("""COMPUTED_VALUE"""),158.86)</f>
        <v>158.86</v>
      </c>
      <c r="E907" s="21">
        <f>IFERROR(__xludf.DUMMYFUNCTION("""COMPUTED_VALUE"""),109.34784650000002)</f>
        <v>109.3478465</v>
      </c>
      <c r="F907" s="21">
        <f>IFERROR(__xludf.DUMMYFUNCTION("""COMPUTED_VALUE"""),110.21528571428573)</f>
        <v>110.2152857</v>
      </c>
      <c r="G907" s="21">
        <f>IFERROR(__xludf.DUMMYFUNCTION("""COMPUTED_VALUE"""),50.404)</f>
        <v>50.404</v>
      </c>
    </row>
    <row r="908">
      <c r="A908" s="23">
        <f>IFERROR(__xludf.DUMMYFUNCTION("""COMPUTED_VALUE"""),45468.0)</f>
        <v>45468</v>
      </c>
      <c r="B908" s="21">
        <f>IFERROR(__xludf.DUMMYFUNCTION("""COMPUTED_VALUE"""),113.89)</f>
        <v>113.89</v>
      </c>
      <c r="C908" s="22">
        <f>IFERROR(__xludf.DUMMYFUNCTION("""COMPUTED_VALUE"""),90.417)</f>
        <v>90.417</v>
      </c>
      <c r="D908" s="22">
        <f>IFERROR(__xludf.DUMMYFUNCTION("""COMPUTED_VALUE"""),158.86)</f>
        <v>158.86</v>
      </c>
      <c r="E908" s="21">
        <f>IFERROR(__xludf.DUMMYFUNCTION("""COMPUTED_VALUE"""),110.12336582857144)</f>
        <v>110.1233658</v>
      </c>
      <c r="F908" s="21">
        <f>IFERROR(__xludf.DUMMYFUNCTION("""COMPUTED_VALUE"""),111.14057142857145)</f>
        <v>111.1405714</v>
      </c>
      <c r="G908" s="21">
        <f>IFERROR(__xludf.DUMMYFUNCTION("""COMPUTED_VALUE"""),50.404)</f>
        <v>50.404</v>
      </c>
    </row>
    <row r="909">
      <c r="A909" s="23">
        <f>IFERROR(__xludf.DUMMYFUNCTION("""COMPUTED_VALUE"""),45469.0)</f>
        <v>45469</v>
      </c>
      <c r="B909" s="21">
        <f>IFERROR(__xludf.DUMMYFUNCTION("""COMPUTED_VALUE"""),113.89)</f>
        <v>113.89</v>
      </c>
      <c r="C909" s="22">
        <f>IFERROR(__xludf.DUMMYFUNCTION("""COMPUTED_VALUE"""),90.417)</f>
        <v>90.417</v>
      </c>
      <c r="D909" s="22">
        <f>IFERROR(__xludf.DUMMYFUNCTION("""COMPUTED_VALUE"""),158.86)</f>
        <v>158.86</v>
      </c>
      <c r="E909" s="21">
        <f>IFERROR(__xludf.DUMMYFUNCTION("""COMPUTED_VALUE"""),110.16869184285714)</f>
        <v>110.1686918</v>
      </c>
      <c r="F909" s="21">
        <f>IFERROR(__xludf.DUMMYFUNCTION("""COMPUTED_VALUE"""),112.06585714285714)</f>
        <v>112.0658571</v>
      </c>
      <c r="G909" s="21">
        <f>IFERROR(__xludf.DUMMYFUNCTION("""COMPUTED_VALUE"""),50.404)</f>
        <v>50.404</v>
      </c>
    </row>
    <row r="910">
      <c r="A910" s="23">
        <f>IFERROR(__xludf.DUMMYFUNCTION("""COMPUTED_VALUE"""),45470.0)</f>
        <v>45470</v>
      </c>
      <c r="B910" s="21">
        <f>IFERROR(__xludf.DUMMYFUNCTION("""COMPUTED_VALUE"""),113.89)</f>
        <v>113.89</v>
      </c>
      <c r="C910" s="22">
        <f>IFERROR(__xludf.DUMMYFUNCTION("""COMPUTED_VALUE"""),90.417)</f>
        <v>90.417</v>
      </c>
      <c r="D910" s="22">
        <f>IFERROR(__xludf.DUMMYFUNCTION("""COMPUTED_VALUE"""),158.86)</f>
        <v>158.86</v>
      </c>
      <c r="E910" s="21">
        <f>IFERROR(__xludf.DUMMYFUNCTION("""COMPUTED_VALUE"""),108.3794152)</f>
        <v>108.3794152</v>
      </c>
      <c r="F910" s="21">
        <f>IFERROR(__xludf.DUMMYFUNCTION("""COMPUTED_VALUE"""),112.99114285714288)</f>
        <v>112.9911429</v>
      </c>
      <c r="G910" s="21">
        <f>IFERROR(__xludf.DUMMYFUNCTION("""COMPUTED_VALUE"""),50.404)</f>
        <v>50.404</v>
      </c>
    </row>
    <row r="911">
      <c r="A911" s="23">
        <f>IFERROR(__xludf.DUMMYFUNCTION("""COMPUTED_VALUE"""),45471.0)</f>
        <v>45471</v>
      </c>
      <c r="B911" s="21">
        <f>IFERROR(__xludf.DUMMYFUNCTION("""COMPUTED_VALUE"""),113.89)</f>
        <v>113.89</v>
      </c>
      <c r="C911" s="22">
        <f>IFERROR(__xludf.DUMMYFUNCTION("""COMPUTED_VALUE"""),90.417)</f>
        <v>90.417</v>
      </c>
      <c r="D911" s="22">
        <f>IFERROR(__xludf.DUMMYFUNCTION("""COMPUTED_VALUE"""),158.86)</f>
        <v>158.86</v>
      </c>
      <c r="E911" s="21">
        <f>IFERROR(__xludf.DUMMYFUNCTION("""COMPUTED_VALUE"""),107.39023571428571)</f>
        <v>107.3902357</v>
      </c>
      <c r="F911" s="21">
        <f>IFERROR(__xludf.DUMMYFUNCTION("""COMPUTED_VALUE"""),113.91642857142857)</f>
        <v>113.9164286</v>
      </c>
      <c r="G911" s="21">
        <f>IFERROR(__xludf.DUMMYFUNCTION("""COMPUTED_VALUE"""),50.404)</f>
        <v>50.404</v>
      </c>
    </row>
    <row r="912">
      <c r="A912" s="23">
        <f>IFERROR(__xludf.DUMMYFUNCTION("""COMPUTED_VALUE"""),45472.0)</f>
        <v>45472</v>
      </c>
      <c r="B912" s="21">
        <f>IFERROR(__xludf.DUMMYFUNCTION("""COMPUTED_VALUE"""),113.89)</f>
        <v>113.89</v>
      </c>
      <c r="C912" s="22">
        <f>IFERROR(__xludf.DUMMYFUNCTION("""COMPUTED_VALUE"""),90.417)</f>
        <v>90.417</v>
      </c>
      <c r="D912" s="22">
        <f>IFERROR(__xludf.DUMMYFUNCTION("""COMPUTED_VALUE"""),158.86)</f>
        <v>158.86</v>
      </c>
      <c r="E912" s="21">
        <f>IFERROR(__xludf.DUMMYFUNCTION("""COMPUTED_VALUE"""),106.64273535285713)</f>
        <v>106.6427354</v>
      </c>
      <c r="F912" s="21">
        <f>IFERROR(__xludf.DUMMYFUNCTION("""COMPUTED_VALUE"""),114.84171428571429)</f>
        <v>114.8417143</v>
      </c>
      <c r="G912" s="21">
        <f>IFERROR(__xludf.DUMMYFUNCTION("""COMPUTED_VALUE"""),50.404)</f>
        <v>50.404</v>
      </c>
    </row>
    <row r="913">
      <c r="A913" s="23">
        <f>IFERROR(__xludf.DUMMYFUNCTION("""COMPUTED_VALUE"""),45473.0)</f>
        <v>45473</v>
      </c>
      <c r="B913" s="21">
        <f>IFERROR(__xludf.DUMMYFUNCTION("""COMPUTED_VALUE"""),113.89)</f>
        <v>113.89</v>
      </c>
      <c r="C913" s="22">
        <f>IFERROR(__xludf.DUMMYFUNCTION("""COMPUTED_VALUE"""),90.417)</f>
        <v>90.417</v>
      </c>
      <c r="D913" s="22">
        <f>IFERROR(__xludf.DUMMYFUNCTION("""COMPUTED_VALUE"""),158.86)</f>
        <v>158.86</v>
      </c>
      <c r="E913" s="21">
        <f>IFERROR(__xludf.DUMMYFUNCTION("""COMPUTED_VALUE"""),102.59848692142857)</f>
        <v>102.5984869</v>
      </c>
      <c r="F913" s="21">
        <f>IFERROR(__xludf.DUMMYFUNCTION("""COMPUTED_VALUE"""),115.76700000000002)</f>
        <v>115.767</v>
      </c>
      <c r="G913" s="21">
        <f>IFERROR(__xludf.DUMMYFUNCTION("""COMPUTED_VALUE"""),50.404)</f>
        <v>50.404</v>
      </c>
    </row>
    <row r="914">
      <c r="A914" s="20">
        <f>IFERROR(__xludf.DUMMYFUNCTION("""COMPUTED_VALUE"""),45474.0)</f>
        <v>45474</v>
      </c>
      <c r="B914" s="21">
        <f>IFERROR(__xludf.DUMMYFUNCTION("""COMPUTED_VALUE"""),113.89)</f>
        <v>113.89</v>
      </c>
      <c r="C914" s="22">
        <f>IFERROR(__xludf.DUMMYFUNCTION("""COMPUTED_VALUE"""),90.417)</f>
        <v>90.417</v>
      </c>
      <c r="D914" s="22">
        <f>IFERROR(__xludf.DUMMYFUNCTION("""COMPUTED_VALUE"""),158.86)</f>
        <v>158.86</v>
      </c>
      <c r="E914" s="21">
        <f>IFERROR(__xludf.DUMMYFUNCTION("""COMPUTED_VALUE"""),103.63849132142856)</f>
        <v>103.6384913</v>
      </c>
      <c r="F914" s="21">
        <f>IFERROR(__xludf.DUMMYFUNCTION("""COMPUTED_VALUE"""),115.04814285714288)</f>
        <v>115.0481429</v>
      </c>
      <c r="G914" s="21"/>
    </row>
    <row r="915">
      <c r="A915" s="20">
        <f>IFERROR(__xludf.DUMMYFUNCTION("""COMPUTED_VALUE"""),45475.0)</f>
        <v>45475</v>
      </c>
      <c r="B915" s="21">
        <f>IFERROR(__xludf.DUMMYFUNCTION("""COMPUTED_VALUE"""),113.89)</f>
        <v>113.89</v>
      </c>
      <c r="C915" s="22">
        <f>IFERROR(__xludf.DUMMYFUNCTION("""COMPUTED_VALUE"""),90.417)</f>
        <v>90.417</v>
      </c>
      <c r="D915" s="22">
        <f>IFERROR(__xludf.DUMMYFUNCTION("""COMPUTED_VALUE"""),158.86)</f>
        <v>158.86</v>
      </c>
      <c r="E915" s="21">
        <f>IFERROR(__xludf.DUMMYFUNCTION("""COMPUTED_VALUE"""),102.13456484999999)</f>
        <v>102.1345649</v>
      </c>
      <c r="F915" s="21">
        <f>IFERROR(__xludf.DUMMYFUNCTION("""COMPUTED_VALUE"""),114.32928571428572)</f>
        <v>114.3292857</v>
      </c>
      <c r="G915" s="21"/>
    </row>
    <row r="916">
      <c r="A916" s="20">
        <f>IFERROR(__xludf.DUMMYFUNCTION("""COMPUTED_VALUE"""),45476.0)</f>
        <v>45476</v>
      </c>
      <c r="B916" s="21">
        <f>IFERROR(__xludf.DUMMYFUNCTION("""COMPUTED_VALUE"""),113.89)</f>
        <v>113.89</v>
      </c>
      <c r="C916" s="22">
        <f>IFERROR(__xludf.DUMMYFUNCTION("""COMPUTED_VALUE"""),90.417)</f>
        <v>90.417</v>
      </c>
      <c r="D916" s="22">
        <f>IFERROR(__xludf.DUMMYFUNCTION("""COMPUTED_VALUE"""),158.86)</f>
        <v>158.86</v>
      </c>
      <c r="E916" s="21">
        <f>IFERROR(__xludf.DUMMYFUNCTION("""COMPUTED_VALUE"""),101.66315926428571)</f>
        <v>101.6631593</v>
      </c>
      <c r="F916" s="21">
        <f>IFERROR(__xludf.DUMMYFUNCTION("""COMPUTED_VALUE"""),113.61042857142857)</f>
        <v>113.6104286</v>
      </c>
      <c r="G916" s="21"/>
    </row>
    <row r="917">
      <c r="A917" s="20">
        <f>IFERROR(__xludf.DUMMYFUNCTION("""COMPUTED_VALUE"""),45477.0)</f>
        <v>45477</v>
      </c>
      <c r="B917" s="21">
        <f>IFERROR(__xludf.DUMMYFUNCTION("""COMPUTED_VALUE"""),113.89)</f>
        <v>113.89</v>
      </c>
      <c r="C917" s="22">
        <f>IFERROR(__xludf.DUMMYFUNCTION("""COMPUTED_VALUE"""),90.417)</f>
        <v>90.417</v>
      </c>
      <c r="D917" s="22">
        <f>IFERROR(__xludf.DUMMYFUNCTION("""COMPUTED_VALUE"""),158.86)</f>
        <v>158.86</v>
      </c>
      <c r="E917" s="21">
        <f>IFERROR(__xludf.DUMMYFUNCTION("""COMPUTED_VALUE"""),102.26919289285715)</f>
        <v>102.2691929</v>
      </c>
      <c r="F917" s="21">
        <f>IFERROR(__xludf.DUMMYFUNCTION("""COMPUTED_VALUE"""),112.89157142857142)</f>
        <v>112.8915714</v>
      </c>
      <c r="G917" s="21"/>
    </row>
    <row r="918">
      <c r="A918" s="20">
        <f>IFERROR(__xludf.DUMMYFUNCTION("""COMPUTED_VALUE"""),45478.0)</f>
        <v>45478</v>
      </c>
      <c r="B918" s="21">
        <f>IFERROR(__xludf.DUMMYFUNCTION("""COMPUTED_VALUE"""),113.89)</f>
        <v>113.89</v>
      </c>
      <c r="C918" s="22">
        <f>IFERROR(__xludf.DUMMYFUNCTION("""COMPUTED_VALUE"""),90.417)</f>
        <v>90.417</v>
      </c>
      <c r="D918" s="22">
        <f>IFERROR(__xludf.DUMMYFUNCTION("""COMPUTED_VALUE"""),158.86)</f>
        <v>158.86</v>
      </c>
      <c r="E918" s="21">
        <f>IFERROR(__xludf.DUMMYFUNCTION("""COMPUTED_VALUE"""),101.35446517857142)</f>
        <v>101.3544652</v>
      </c>
      <c r="F918" s="21">
        <f>IFERROR(__xludf.DUMMYFUNCTION("""COMPUTED_VALUE"""),112.17271428571429)</f>
        <v>112.1727143</v>
      </c>
      <c r="G918" s="21"/>
    </row>
    <row r="919">
      <c r="A919" s="20">
        <f>IFERROR(__xludf.DUMMYFUNCTION("""COMPUTED_VALUE"""),45479.0)</f>
        <v>45479</v>
      </c>
      <c r="B919" s="21">
        <f>IFERROR(__xludf.DUMMYFUNCTION("""COMPUTED_VALUE"""),113.89)</f>
        <v>113.89</v>
      </c>
      <c r="C919" s="22">
        <f>IFERROR(__xludf.DUMMYFUNCTION("""COMPUTED_VALUE"""),90.417)</f>
        <v>90.417</v>
      </c>
      <c r="D919" s="22">
        <f>IFERROR(__xludf.DUMMYFUNCTION("""COMPUTED_VALUE"""),158.86)</f>
        <v>158.86</v>
      </c>
      <c r="E919" s="21">
        <f>IFERROR(__xludf.DUMMYFUNCTION("""COMPUTED_VALUE"""),102.21888244142858)</f>
        <v>102.2188824</v>
      </c>
      <c r="F919" s="21">
        <f>IFERROR(__xludf.DUMMYFUNCTION("""COMPUTED_VALUE"""),111.45385714285715)</f>
        <v>111.4538571</v>
      </c>
      <c r="G919" s="21"/>
    </row>
    <row r="920">
      <c r="A920" s="20">
        <f>IFERROR(__xludf.DUMMYFUNCTION("""COMPUTED_VALUE"""),45480.0)</f>
        <v>45480</v>
      </c>
      <c r="B920" s="21">
        <f>IFERROR(__xludf.DUMMYFUNCTION("""COMPUTED_VALUE"""),113.89)</f>
        <v>113.89</v>
      </c>
      <c r="C920" s="22">
        <f>IFERROR(__xludf.DUMMYFUNCTION("""COMPUTED_VALUE"""),90.417)</f>
        <v>90.417</v>
      </c>
      <c r="D920" s="22">
        <f>IFERROR(__xludf.DUMMYFUNCTION("""COMPUTED_VALUE"""),158.86)</f>
        <v>158.86</v>
      </c>
      <c r="E920" s="21">
        <f>IFERROR(__xludf.DUMMYFUNCTION("""COMPUTED_VALUE"""),106.30301082999999)</f>
        <v>106.3030108</v>
      </c>
      <c r="F920" s="21">
        <f>IFERROR(__xludf.DUMMYFUNCTION("""COMPUTED_VALUE"""),110.735)</f>
        <v>110.735</v>
      </c>
      <c r="G920" s="21"/>
    </row>
    <row r="921">
      <c r="A921" s="20">
        <f>IFERROR(__xludf.DUMMYFUNCTION("""COMPUTED_VALUE"""),45481.0)</f>
        <v>45481</v>
      </c>
      <c r="B921" s="21">
        <f>IFERROR(__xludf.DUMMYFUNCTION("""COMPUTED_VALUE"""),113.89)</f>
        <v>113.89</v>
      </c>
      <c r="C921" s="22">
        <f>IFERROR(__xludf.DUMMYFUNCTION("""COMPUTED_VALUE"""),90.417)</f>
        <v>90.417</v>
      </c>
      <c r="D921" s="22">
        <f>IFERROR(__xludf.DUMMYFUNCTION("""COMPUTED_VALUE"""),158.86)</f>
        <v>158.86</v>
      </c>
      <c r="E921" s="21">
        <f>IFERROR(__xludf.DUMMYFUNCTION("""COMPUTED_VALUE"""),105.30795048714286)</f>
        <v>105.3079505</v>
      </c>
      <c r="F921" s="21">
        <f>IFERROR(__xludf.DUMMYFUNCTION("""COMPUTED_VALUE"""),110.735)</f>
        <v>110.735</v>
      </c>
      <c r="G921" s="21"/>
    </row>
    <row r="922">
      <c r="A922" s="20">
        <f>IFERROR(__xludf.DUMMYFUNCTION("""COMPUTED_VALUE"""),45482.0)</f>
        <v>45482</v>
      </c>
      <c r="B922" s="21">
        <f>IFERROR(__xludf.DUMMYFUNCTION("""COMPUTED_VALUE"""),113.89)</f>
        <v>113.89</v>
      </c>
      <c r="C922" s="22">
        <f>IFERROR(__xludf.DUMMYFUNCTION("""COMPUTED_VALUE"""),90.417)</f>
        <v>90.417</v>
      </c>
      <c r="D922" s="22">
        <f>IFERROR(__xludf.DUMMYFUNCTION("""COMPUTED_VALUE"""),158.86)</f>
        <v>158.86</v>
      </c>
      <c r="E922" s="21">
        <f>IFERROR(__xludf.DUMMYFUNCTION("""COMPUTED_VALUE"""),106.87806253000001)</f>
        <v>106.8780625</v>
      </c>
      <c r="F922" s="21">
        <f>IFERROR(__xludf.DUMMYFUNCTION("""COMPUTED_VALUE"""),110.735)</f>
        <v>110.735</v>
      </c>
      <c r="G922" s="21"/>
    </row>
    <row r="923">
      <c r="A923" s="20">
        <f>IFERROR(__xludf.DUMMYFUNCTION("""COMPUTED_VALUE"""),45483.0)</f>
        <v>45483</v>
      </c>
      <c r="B923" s="21">
        <f>IFERROR(__xludf.DUMMYFUNCTION("""COMPUTED_VALUE"""),113.89)</f>
        <v>113.89</v>
      </c>
      <c r="C923" s="22">
        <f>IFERROR(__xludf.DUMMYFUNCTION("""COMPUTED_VALUE"""),90.417)</f>
        <v>90.417</v>
      </c>
      <c r="D923" s="22">
        <f>IFERROR(__xludf.DUMMYFUNCTION("""COMPUTED_VALUE"""),158.86)</f>
        <v>158.86</v>
      </c>
      <c r="E923" s="21">
        <f>IFERROR(__xludf.DUMMYFUNCTION("""COMPUTED_VALUE"""),108.02728660142859)</f>
        <v>108.0272866</v>
      </c>
      <c r="F923" s="21">
        <f>IFERROR(__xludf.DUMMYFUNCTION("""COMPUTED_VALUE"""),110.735)</f>
        <v>110.735</v>
      </c>
      <c r="G923" s="21"/>
    </row>
    <row r="924">
      <c r="A924" s="20">
        <f>IFERROR(__xludf.DUMMYFUNCTION("""COMPUTED_VALUE"""),45484.0)</f>
        <v>45484</v>
      </c>
      <c r="B924" s="21">
        <f>IFERROR(__xludf.DUMMYFUNCTION("""COMPUTED_VALUE"""),113.89)</f>
        <v>113.89</v>
      </c>
      <c r="C924" s="22">
        <f>IFERROR(__xludf.DUMMYFUNCTION("""COMPUTED_VALUE"""),90.417)</f>
        <v>90.417</v>
      </c>
      <c r="D924" s="22">
        <f>IFERROR(__xludf.DUMMYFUNCTION("""COMPUTED_VALUE"""),158.86)</f>
        <v>158.86</v>
      </c>
      <c r="E924" s="21">
        <f>IFERROR(__xludf.DUMMYFUNCTION("""COMPUTED_VALUE"""),109.59300515857142)</f>
        <v>109.5930052</v>
      </c>
      <c r="F924" s="21">
        <f>IFERROR(__xludf.DUMMYFUNCTION("""COMPUTED_VALUE"""),110.735)</f>
        <v>110.735</v>
      </c>
      <c r="G924" s="21"/>
    </row>
    <row r="925">
      <c r="A925" s="20">
        <f>IFERROR(__xludf.DUMMYFUNCTION("""COMPUTED_VALUE"""),45485.0)</f>
        <v>45485</v>
      </c>
      <c r="B925" s="21">
        <f>IFERROR(__xludf.DUMMYFUNCTION("""COMPUTED_VALUE"""),113.89)</f>
        <v>113.89</v>
      </c>
      <c r="C925" s="22">
        <f>IFERROR(__xludf.DUMMYFUNCTION("""COMPUTED_VALUE"""),90.417)</f>
        <v>90.417</v>
      </c>
      <c r="D925" s="22">
        <f>IFERROR(__xludf.DUMMYFUNCTION("""COMPUTED_VALUE"""),158.86)</f>
        <v>158.86</v>
      </c>
      <c r="E925" s="21">
        <f>IFERROR(__xludf.DUMMYFUNCTION("""COMPUTED_VALUE"""),111.06414175857142)</f>
        <v>111.0641418</v>
      </c>
      <c r="F925" s="21">
        <f>IFERROR(__xludf.DUMMYFUNCTION("""COMPUTED_VALUE"""),110.735)</f>
        <v>110.735</v>
      </c>
      <c r="G925" s="21"/>
    </row>
    <row r="926">
      <c r="A926" s="23">
        <f>IFERROR(__xludf.DUMMYFUNCTION("""COMPUTED_VALUE"""),45486.0)</f>
        <v>45486</v>
      </c>
      <c r="B926" s="21">
        <f>IFERROR(__xludf.DUMMYFUNCTION("""COMPUTED_VALUE"""),113.89)</f>
        <v>113.89</v>
      </c>
      <c r="C926" s="22">
        <f>IFERROR(__xludf.DUMMYFUNCTION("""COMPUTED_VALUE"""),90.417)</f>
        <v>90.417</v>
      </c>
      <c r="D926" s="22">
        <f>IFERROR(__xludf.DUMMYFUNCTION("""COMPUTED_VALUE"""),158.86)</f>
        <v>158.86</v>
      </c>
      <c r="E926" s="21">
        <f>IFERROR(__xludf.DUMMYFUNCTION("""COMPUTED_VALUE"""),112.63596298571429)</f>
        <v>112.635963</v>
      </c>
      <c r="F926" s="21">
        <f>IFERROR(__xludf.DUMMYFUNCTION("""COMPUTED_VALUE"""),110.735)</f>
        <v>110.735</v>
      </c>
      <c r="G926" s="21"/>
    </row>
    <row r="927">
      <c r="A927" s="23">
        <f>IFERROR(__xludf.DUMMYFUNCTION("""COMPUTED_VALUE"""),45487.0)</f>
        <v>45487</v>
      </c>
      <c r="B927" s="21">
        <f>IFERROR(__xludf.DUMMYFUNCTION("""COMPUTED_VALUE"""),113.89)</f>
        <v>113.89</v>
      </c>
      <c r="C927" s="22">
        <f>IFERROR(__xludf.DUMMYFUNCTION("""COMPUTED_VALUE"""),90.417)</f>
        <v>90.417</v>
      </c>
      <c r="D927" s="22">
        <f>IFERROR(__xludf.DUMMYFUNCTION("""COMPUTED_VALUE"""),158.86)</f>
        <v>158.86</v>
      </c>
      <c r="E927" s="21">
        <f>IFERROR(__xludf.DUMMYFUNCTION("""COMPUTED_VALUE"""),114.0580186)</f>
        <v>114.0580186</v>
      </c>
      <c r="F927" s="21">
        <f>IFERROR(__xludf.DUMMYFUNCTION("""COMPUTED_VALUE"""),110.735)</f>
        <v>110.735</v>
      </c>
      <c r="G927" s="21"/>
    </row>
    <row r="928">
      <c r="A928" s="23">
        <f>IFERROR(__xludf.DUMMYFUNCTION("""COMPUTED_VALUE"""),45488.0)</f>
        <v>45488</v>
      </c>
      <c r="B928" s="21">
        <f>IFERROR(__xludf.DUMMYFUNCTION("""COMPUTED_VALUE"""),118.73)</f>
        <v>118.73</v>
      </c>
      <c r="C928" s="22">
        <f>IFERROR(__xludf.DUMMYFUNCTION("""COMPUTED_VALUE"""),90.417)</f>
        <v>90.417</v>
      </c>
      <c r="D928" s="22">
        <f>IFERROR(__xludf.DUMMYFUNCTION("""COMPUTED_VALUE"""),159.5)</f>
        <v>159.5</v>
      </c>
      <c r="E928" s="21">
        <f>IFERROR(__xludf.DUMMYFUNCTION("""COMPUTED_VALUE"""),115.35928707142857)</f>
        <v>115.3592871</v>
      </c>
      <c r="F928" s="21">
        <f>IFERROR(__xludf.DUMMYFUNCTION("""COMPUTED_VALUE"""),110.735)</f>
        <v>110.735</v>
      </c>
      <c r="G928" s="21"/>
    </row>
    <row r="929">
      <c r="A929" s="23">
        <f>IFERROR(__xludf.DUMMYFUNCTION("""COMPUTED_VALUE"""),45489.0)</f>
        <v>45489</v>
      </c>
      <c r="B929" s="21">
        <f>IFERROR(__xludf.DUMMYFUNCTION("""COMPUTED_VALUE"""),118.73)</f>
        <v>118.73</v>
      </c>
      <c r="C929" s="22">
        <f>IFERROR(__xludf.DUMMYFUNCTION("""COMPUTED_VALUE"""),90.417)</f>
        <v>90.417</v>
      </c>
      <c r="D929" s="22">
        <f>IFERROR(__xludf.DUMMYFUNCTION("""COMPUTED_VALUE"""),159.5)</f>
        <v>159.5</v>
      </c>
      <c r="E929" s="21">
        <f>IFERROR(__xludf.DUMMYFUNCTION("""COMPUTED_VALUE"""),115.99306320000001)</f>
        <v>115.9930632</v>
      </c>
      <c r="F929" s="21">
        <f>IFERROR(__xludf.DUMMYFUNCTION("""COMPUTED_VALUE"""),110.735)</f>
        <v>110.735</v>
      </c>
      <c r="G929" s="21"/>
    </row>
    <row r="930">
      <c r="A930" s="23">
        <f>IFERROR(__xludf.DUMMYFUNCTION("""COMPUTED_VALUE"""),45490.0)</f>
        <v>45490</v>
      </c>
      <c r="B930" s="21">
        <f>IFERROR(__xludf.DUMMYFUNCTION("""COMPUTED_VALUE"""),118.73)</f>
        <v>118.73</v>
      </c>
      <c r="C930" s="22">
        <f>IFERROR(__xludf.DUMMYFUNCTION("""COMPUTED_VALUE"""),90.417)</f>
        <v>90.417</v>
      </c>
      <c r="D930" s="22">
        <f>IFERROR(__xludf.DUMMYFUNCTION("""COMPUTED_VALUE"""),159.5)</f>
        <v>159.5</v>
      </c>
      <c r="E930" s="21">
        <f>IFERROR(__xludf.DUMMYFUNCTION("""COMPUTED_VALUE"""),117.29872851428571)</f>
        <v>117.2987285</v>
      </c>
      <c r="F930" s="21">
        <f>IFERROR(__xludf.DUMMYFUNCTION("""COMPUTED_VALUE"""),110.735)</f>
        <v>110.735</v>
      </c>
      <c r="G930" s="21"/>
    </row>
    <row r="931">
      <c r="A931" s="23">
        <f>IFERROR(__xludf.DUMMYFUNCTION("""COMPUTED_VALUE"""),45491.0)</f>
        <v>45491</v>
      </c>
      <c r="B931" s="21">
        <f>IFERROR(__xludf.DUMMYFUNCTION("""COMPUTED_VALUE"""),118.73)</f>
        <v>118.73</v>
      </c>
      <c r="C931" s="22">
        <f>IFERROR(__xludf.DUMMYFUNCTION("""COMPUTED_VALUE"""),90.417)</f>
        <v>90.417</v>
      </c>
      <c r="D931" s="22">
        <f>IFERROR(__xludf.DUMMYFUNCTION("""COMPUTED_VALUE"""),159.5)</f>
        <v>159.5</v>
      </c>
      <c r="E931" s="21">
        <f>IFERROR(__xludf.DUMMYFUNCTION("""COMPUTED_VALUE"""),117.81708407142857)</f>
        <v>117.8170841</v>
      </c>
      <c r="F931" s="21">
        <f>IFERROR(__xludf.DUMMYFUNCTION("""COMPUTED_VALUE"""),110.735)</f>
        <v>110.735</v>
      </c>
      <c r="G931" s="21"/>
    </row>
    <row r="932">
      <c r="A932" s="23">
        <f>IFERROR(__xludf.DUMMYFUNCTION("""COMPUTED_VALUE"""),45492.0)</f>
        <v>45492</v>
      </c>
      <c r="B932" s="21">
        <f>IFERROR(__xludf.DUMMYFUNCTION("""COMPUTED_VALUE"""),118.73)</f>
        <v>118.73</v>
      </c>
      <c r="C932" s="22">
        <f>IFERROR(__xludf.DUMMYFUNCTION("""COMPUTED_VALUE"""),90.417)</f>
        <v>90.417</v>
      </c>
      <c r="D932" s="22">
        <f>IFERROR(__xludf.DUMMYFUNCTION("""COMPUTED_VALUE"""),159.5)</f>
        <v>159.5</v>
      </c>
      <c r="E932" s="21">
        <f>IFERROR(__xludf.DUMMYFUNCTION("""COMPUTED_VALUE"""),118.64449535714286)</f>
        <v>118.6444954</v>
      </c>
      <c r="F932" s="21">
        <f>IFERROR(__xludf.DUMMYFUNCTION("""COMPUTED_VALUE"""),110.735)</f>
        <v>110.735</v>
      </c>
      <c r="G932" s="21"/>
    </row>
    <row r="933">
      <c r="A933" s="23">
        <f>IFERROR(__xludf.DUMMYFUNCTION("""COMPUTED_VALUE"""),45493.0)</f>
        <v>45493</v>
      </c>
      <c r="B933" s="21">
        <f>IFERROR(__xludf.DUMMYFUNCTION("""COMPUTED_VALUE"""),118.73)</f>
        <v>118.73</v>
      </c>
      <c r="C933" s="22">
        <f>IFERROR(__xludf.DUMMYFUNCTION("""COMPUTED_VALUE"""),90.417)</f>
        <v>90.417</v>
      </c>
      <c r="D933" s="22">
        <f>IFERROR(__xludf.DUMMYFUNCTION("""COMPUTED_VALUE"""),159.5)</f>
        <v>159.5</v>
      </c>
      <c r="E933" s="21">
        <f>IFERROR(__xludf.DUMMYFUNCTION("""COMPUTED_VALUE"""),118.84135695714285)</f>
        <v>118.841357</v>
      </c>
      <c r="F933" s="21">
        <f>IFERROR(__xludf.DUMMYFUNCTION("""COMPUTED_VALUE"""),110.735)</f>
        <v>110.735</v>
      </c>
      <c r="G933" s="21"/>
    </row>
    <row r="934">
      <c r="A934" s="23">
        <f>IFERROR(__xludf.DUMMYFUNCTION("""COMPUTED_VALUE"""),45494.0)</f>
        <v>45494</v>
      </c>
      <c r="B934" s="21">
        <f>IFERROR(__xludf.DUMMYFUNCTION("""COMPUTED_VALUE"""),118.73)</f>
        <v>118.73</v>
      </c>
      <c r="C934" s="22">
        <f>IFERROR(__xludf.DUMMYFUNCTION("""COMPUTED_VALUE"""),90.417)</f>
        <v>90.417</v>
      </c>
      <c r="D934" s="22">
        <f>IFERROR(__xludf.DUMMYFUNCTION("""COMPUTED_VALUE"""),159.5)</f>
        <v>159.5</v>
      </c>
      <c r="E934" s="21">
        <f>IFERROR(__xludf.DUMMYFUNCTION("""COMPUTED_VALUE"""),116.64568036428571)</f>
        <v>116.6456804</v>
      </c>
      <c r="F934" s="21">
        <f>IFERROR(__xludf.DUMMYFUNCTION("""COMPUTED_VALUE"""),110.735)</f>
        <v>110.735</v>
      </c>
      <c r="G934" s="21"/>
    </row>
    <row r="935">
      <c r="A935" s="23">
        <f>IFERROR(__xludf.DUMMYFUNCTION("""COMPUTED_VALUE"""),45495.0)</f>
        <v>45495</v>
      </c>
      <c r="B935" s="21">
        <f>IFERROR(__xludf.DUMMYFUNCTION("""COMPUTED_VALUE"""),118.73)</f>
        <v>118.73</v>
      </c>
      <c r="C935" s="22">
        <f>IFERROR(__xludf.DUMMYFUNCTION("""COMPUTED_VALUE"""),90.417)</f>
        <v>90.417</v>
      </c>
      <c r="D935" s="22">
        <f>IFERROR(__xludf.DUMMYFUNCTION("""COMPUTED_VALUE"""),159.5)</f>
        <v>159.5</v>
      </c>
      <c r="E935" s="21">
        <f>IFERROR(__xludf.DUMMYFUNCTION("""COMPUTED_VALUE"""),116.61378113571428)</f>
        <v>116.6137811</v>
      </c>
      <c r="F935" s="21">
        <f>IFERROR(__xludf.DUMMYFUNCTION("""COMPUTED_VALUE"""),110.735)</f>
        <v>110.735</v>
      </c>
      <c r="G935" s="21"/>
    </row>
    <row r="936">
      <c r="A936" s="23">
        <f>IFERROR(__xludf.DUMMYFUNCTION("""COMPUTED_VALUE"""),45496.0)</f>
        <v>45496</v>
      </c>
      <c r="B936" s="21">
        <f>IFERROR(__xludf.DUMMYFUNCTION("""COMPUTED_VALUE"""),118.73)</f>
        <v>118.73</v>
      </c>
      <c r="C936" s="22">
        <f>IFERROR(__xludf.DUMMYFUNCTION("""COMPUTED_VALUE"""),90.417)</f>
        <v>90.417</v>
      </c>
      <c r="D936" s="22">
        <f>IFERROR(__xludf.DUMMYFUNCTION("""COMPUTED_VALUE"""),159.5)</f>
        <v>159.5</v>
      </c>
      <c r="E936" s="21">
        <f>IFERROR(__xludf.DUMMYFUNCTION("""COMPUTED_VALUE"""),115.93471484999999)</f>
        <v>115.9347149</v>
      </c>
      <c r="F936" s="21">
        <f>IFERROR(__xludf.DUMMYFUNCTION("""COMPUTED_VALUE"""),110.735)</f>
        <v>110.735</v>
      </c>
      <c r="G936" s="21"/>
    </row>
    <row r="937">
      <c r="A937" s="23">
        <f>IFERROR(__xludf.DUMMYFUNCTION("""COMPUTED_VALUE"""),45497.0)</f>
        <v>45497</v>
      </c>
      <c r="B937" s="21">
        <f>IFERROR(__xludf.DUMMYFUNCTION("""COMPUTED_VALUE"""),118.73)</f>
        <v>118.73</v>
      </c>
      <c r="C937" s="22">
        <f>IFERROR(__xludf.DUMMYFUNCTION("""COMPUTED_VALUE"""),90.417)</f>
        <v>90.417</v>
      </c>
      <c r="D937" s="22">
        <f>IFERROR(__xludf.DUMMYFUNCTION("""COMPUTED_VALUE"""),159.5)</f>
        <v>159.5</v>
      </c>
      <c r="E937" s="21">
        <f>IFERROR(__xludf.DUMMYFUNCTION("""COMPUTED_VALUE"""),113.67450215)</f>
        <v>113.6745022</v>
      </c>
      <c r="F937" s="21">
        <f>IFERROR(__xludf.DUMMYFUNCTION("""COMPUTED_VALUE"""),110.735)</f>
        <v>110.735</v>
      </c>
      <c r="G937" s="21"/>
    </row>
    <row r="938">
      <c r="A938" s="23">
        <f>IFERROR(__xludf.DUMMYFUNCTION("""COMPUTED_VALUE"""),45498.0)</f>
        <v>45498</v>
      </c>
      <c r="B938" s="21">
        <f>IFERROR(__xludf.DUMMYFUNCTION("""COMPUTED_VALUE"""),118.73)</f>
        <v>118.73</v>
      </c>
      <c r="C938" s="22">
        <f>IFERROR(__xludf.DUMMYFUNCTION("""COMPUTED_VALUE"""),90.4169999999999)</f>
        <v>90.417</v>
      </c>
      <c r="D938" s="22">
        <f>IFERROR(__xludf.DUMMYFUNCTION("""COMPUTED_VALUE"""),159.5)</f>
        <v>159.5</v>
      </c>
      <c r="E938" s="21">
        <f>IFERROR(__xludf.DUMMYFUNCTION("""COMPUTED_VALUE"""),112.70065556428573)</f>
        <v>112.7006556</v>
      </c>
      <c r="F938" s="21">
        <f>IFERROR(__xludf.DUMMYFUNCTION("""COMPUTED_VALUE"""),110.735)</f>
        <v>110.735</v>
      </c>
      <c r="G938" s="21"/>
    </row>
    <row r="939">
      <c r="A939" s="23">
        <f>IFERROR(__xludf.DUMMYFUNCTION("""COMPUTED_VALUE"""),45499.0)</f>
        <v>45499</v>
      </c>
      <c r="B939" s="21">
        <f>IFERROR(__xludf.DUMMYFUNCTION("""COMPUTED_VALUE"""),118.73)</f>
        <v>118.73</v>
      </c>
      <c r="C939" s="22">
        <f>IFERROR(__xludf.DUMMYFUNCTION("""COMPUTED_VALUE"""),90.4169999999999)</f>
        <v>90.417</v>
      </c>
      <c r="D939" s="22">
        <f>IFERROR(__xludf.DUMMYFUNCTION("""COMPUTED_VALUE"""),159.5)</f>
        <v>159.5</v>
      </c>
      <c r="E939" s="21">
        <f>IFERROR(__xludf.DUMMYFUNCTION("""COMPUTED_VALUE"""),112.86073892142858)</f>
        <v>112.8607389</v>
      </c>
      <c r="F939" s="21">
        <f>IFERROR(__xludf.DUMMYFUNCTION("""COMPUTED_VALUE"""),110.735)</f>
        <v>110.735</v>
      </c>
      <c r="G939" s="21"/>
    </row>
    <row r="940">
      <c r="A940" s="23">
        <f>IFERROR(__xludf.DUMMYFUNCTION("""COMPUTED_VALUE"""),45500.0)</f>
        <v>45500</v>
      </c>
      <c r="B940" s="21">
        <f>IFERROR(__xludf.DUMMYFUNCTION("""COMPUTED_VALUE"""),118.73)</f>
        <v>118.73</v>
      </c>
      <c r="C940" s="22">
        <f>IFERROR(__xludf.DUMMYFUNCTION("""COMPUTED_VALUE"""),90.4169999999999)</f>
        <v>90.417</v>
      </c>
      <c r="D940" s="22">
        <f>IFERROR(__xludf.DUMMYFUNCTION("""COMPUTED_VALUE"""),159.5)</f>
        <v>159.5</v>
      </c>
      <c r="E940" s="21">
        <f>IFERROR(__xludf.DUMMYFUNCTION("""COMPUTED_VALUE"""),112.2160729642857)</f>
        <v>112.216073</v>
      </c>
      <c r="F940" s="21">
        <f>IFERROR(__xludf.DUMMYFUNCTION("""COMPUTED_VALUE"""),110.735)</f>
        <v>110.735</v>
      </c>
      <c r="G940" s="21"/>
    </row>
    <row r="941">
      <c r="A941" s="23">
        <f>IFERROR(__xludf.DUMMYFUNCTION("""COMPUTED_VALUE"""),45501.0)</f>
        <v>45501</v>
      </c>
      <c r="B941" s="21">
        <f>IFERROR(__xludf.DUMMYFUNCTION("""COMPUTED_VALUE"""),118.73)</f>
        <v>118.73</v>
      </c>
      <c r="C941" s="22">
        <f>IFERROR(__xludf.DUMMYFUNCTION("""COMPUTED_VALUE"""),90.4169999999999)</f>
        <v>90.417</v>
      </c>
      <c r="D941" s="22">
        <f>IFERROR(__xludf.DUMMYFUNCTION("""COMPUTED_VALUE"""),159.5)</f>
        <v>159.5</v>
      </c>
      <c r="E941" s="21">
        <f>IFERROR(__xludf.DUMMYFUNCTION("""COMPUTED_VALUE"""),114.20431501428571)</f>
        <v>114.204315</v>
      </c>
      <c r="F941" s="21">
        <f>IFERROR(__xludf.DUMMYFUNCTION("""COMPUTED_VALUE"""),110.735)</f>
        <v>110.735</v>
      </c>
      <c r="G941" s="21"/>
    </row>
    <row r="942">
      <c r="A942" s="23">
        <f>IFERROR(__xludf.DUMMYFUNCTION("""COMPUTED_VALUE"""),45502.0)</f>
        <v>45502</v>
      </c>
      <c r="B942" s="21">
        <f>IFERROR(__xludf.DUMMYFUNCTION("""COMPUTED_VALUE"""),118.73)</f>
        <v>118.73</v>
      </c>
      <c r="C942" s="22">
        <f>IFERROR(__xludf.DUMMYFUNCTION("""COMPUTED_VALUE"""),90.4169999999999)</f>
        <v>90.417</v>
      </c>
      <c r="D942" s="22">
        <f>IFERROR(__xludf.DUMMYFUNCTION("""COMPUTED_VALUE"""),159.5)</f>
        <v>159.5</v>
      </c>
      <c r="E942" s="21">
        <f>IFERROR(__xludf.DUMMYFUNCTION("""COMPUTED_VALUE"""),115.5714565)</f>
        <v>115.5714565</v>
      </c>
      <c r="F942" s="21">
        <f>IFERROR(__xludf.DUMMYFUNCTION("""COMPUTED_VALUE"""),110.735)</f>
        <v>110.735</v>
      </c>
      <c r="G942" s="21"/>
    </row>
    <row r="943">
      <c r="A943" s="23">
        <f>IFERROR(__xludf.DUMMYFUNCTION("""COMPUTED_VALUE"""),45503.0)</f>
        <v>45503</v>
      </c>
      <c r="B943" s="21">
        <f>IFERROR(__xludf.DUMMYFUNCTION("""COMPUTED_VALUE"""),118.73)</f>
        <v>118.73</v>
      </c>
      <c r="C943" s="22">
        <f>IFERROR(__xludf.DUMMYFUNCTION("""COMPUTED_VALUE"""),90.4169999999999)</f>
        <v>90.417</v>
      </c>
      <c r="D943" s="22">
        <f>IFERROR(__xludf.DUMMYFUNCTION("""COMPUTED_VALUE"""),159.5)</f>
        <v>159.5</v>
      </c>
      <c r="E943" s="21">
        <f>IFERROR(__xludf.DUMMYFUNCTION("""COMPUTED_VALUE"""),114.69614721428573)</f>
        <v>114.6961472</v>
      </c>
      <c r="F943" s="21">
        <f>IFERROR(__xludf.DUMMYFUNCTION("""COMPUTED_VALUE"""),110.735)</f>
        <v>110.735</v>
      </c>
      <c r="G943" s="21"/>
    </row>
    <row r="944">
      <c r="A944" s="23">
        <f>IFERROR(__xludf.DUMMYFUNCTION("""COMPUTED_VALUE"""),45504.0)</f>
        <v>45504</v>
      </c>
      <c r="B944" s="21">
        <f>IFERROR(__xludf.DUMMYFUNCTION("""COMPUTED_VALUE"""),118.73)</f>
        <v>118.73</v>
      </c>
      <c r="C944" s="22">
        <f>IFERROR(__xludf.DUMMYFUNCTION("""COMPUTED_VALUE"""),90.4169999999999)</f>
        <v>90.417</v>
      </c>
      <c r="D944" s="22">
        <f>IFERROR(__xludf.DUMMYFUNCTION("""COMPUTED_VALUE"""),159.5)</f>
        <v>159.5</v>
      </c>
      <c r="E944" s="21">
        <f>IFERROR(__xludf.DUMMYFUNCTION("""COMPUTED_VALUE"""),116.29034672857144)</f>
        <v>116.2903467</v>
      </c>
      <c r="F944" s="21">
        <f>IFERROR(__xludf.DUMMYFUNCTION("""COMPUTED_VALUE"""),110.735)</f>
        <v>110.735</v>
      </c>
      <c r="G944" s="21"/>
    </row>
    <row r="945">
      <c r="A945" s="20">
        <f>IFERROR(__xludf.DUMMYFUNCTION("""COMPUTED_VALUE"""),45505.0)</f>
        <v>45505</v>
      </c>
      <c r="B945" s="21">
        <f>IFERROR(__xludf.DUMMYFUNCTION("""COMPUTED_VALUE"""),118.73)</f>
        <v>118.73</v>
      </c>
      <c r="C945" s="22">
        <f>IFERROR(__xludf.DUMMYFUNCTION("""COMPUTED_VALUE"""),90.4169999999999)</f>
        <v>90.417</v>
      </c>
      <c r="D945" s="22">
        <f>IFERROR(__xludf.DUMMYFUNCTION("""COMPUTED_VALUE"""),159.5)</f>
        <v>159.5</v>
      </c>
      <c r="E945" s="21">
        <f>IFERROR(__xludf.DUMMYFUNCTION("""COMPUTED_VALUE"""),117.61074311428573)</f>
        <v>117.6107431</v>
      </c>
      <c r="F945" s="21">
        <f>IFERROR(__xludf.DUMMYFUNCTION("""COMPUTED_VALUE"""),110.735)</f>
        <v>110.735</v>
      </c>
      <c r="G945" s="21"/>
    </row>
    <row r="946">
      <c r="A946" s="20">
        <f>IFERROR(__xludf.DUMMYFUNCTION("""COMPUTED_VALUE"""),45506.0)</f>
        <v>45506</v>
      </c>
      <c r="B946" s="21">
        <f>IFERROR(__xludf.DUMMYFUNCTION("""COMPUTED_VALUE"""),118.73)</f>
        <v>118.73</v>
      </c>
      <c r="C946" s="22">
        <f>IFERROR(__xludf.DUMMYFUNCTION("""COMPUTED_VALUE"""),90.4169999999999)</f>
        <v>90.417</v>
      </c>
      <c r="D946" s="22">
        <f>IFERROR(__xludf.DUMMYFUNCTION("""COMPUTED_VALUE"""),159.5)</f>
        <v>159.5</v>
      </c>
      <c r="E946" s="21">
        <f>IFERROR(__xludf.DUMMYFUNCTION("""COMPUTED_VALUE"""),117.74228155714285)</f>
        <v>117.7422816</v>
      </c>
      <c r="F946" s="21">
        <f>IFERROR(__xludf.DUMMYFUNCTION("""COMPUTED_VALUE"""),110.735)</f>
        <v>110.735</v>
      </c>
      <c r="G946" s="21"/>
    </row>
    <row r="947">
      <c r="A947" s="20">
        <f>IFERROR(__xludf.DUMMYFUNCTION("""COMPUTED_VALUE"""),45507.0)</f>
        <v>45507</v>
      </c>
      <c r="B947" s="21">
        <f>IFERROR(__xludf.DUMMYFUNCTION("""COMPUTED_VALUE"""),118.73)</f>
        <v>118.73</v>
      </c>
      <c r="C947" s="22">
        <f>IFERROR(__xludf.DUMMYFUNCTION("""COMPUTED_VALUE"""),90.4169999999999)</f>
        <v>90.417</v>
      </c>
      <c r="D947" s="22">
        <f>IFERROR(__xludf.DUMMYFUNCTION("""COMPUTED_VALUE"""),159.5)</f>
        <v>159.5</v>
      </c>
      <c r="E947" s="21">
        <f>IFERROR(__xludf.DUMMYFUNCTION("""COMPUTED_VALUE"""),119.1783987142857)</f>
        <v>119.1783987</v>
      </c>
      <c r="F947" s="21">
        <f>IFERROR(__xludf.DUMMYFUNCTION("""COMPUTED_VALUE"""),110.735)</f>
        <v>110.735</v>
      </c>
      <c r="G947" s="21"/>
    </row>
    <row r="948">
      <c r="A948" s="20">
        <f>IFERROR(__xludf.DUMMYFUNCTION("""COMPUTED_VALUE"""),45508.0)</f>
        <v>45508</v>
      </c>
      <c r="B948" s="21">
        <f>IFERROR(__xludf.DUMMYFUNCTION("""COMPUTED_VALUE"""),118.73)</f>
        <v>118.73</v>
      </c>
      <c r="C948" s="22">
        <f>IFERROR(__xludf.DUMMYFUNCTION("""COMPUTED_VALUE"""),90.4169999999999)</f>
        <v>90.417</v>
      </c>
      <c r="D948" s="22">
        <f>IFERROR(__xludf.DUMMYFUNCTION("""COMPUTED_VALUE"""),159.5)</f>
        <v>159.5</v>
      </c>
      <c r="E948" s="21">
        <f>IFERROR(__xludf.DUMMYFUNCTION("""COMPUTED_VALUE"""),121.16440577142858)</f>
        <v>121.1644058</v>
      </c>
      <c r="F948" s="21">
        <f>IFERROR(__xludf.DUMMYFUNCTION("""COMPUTED_VALUE"""),110.735)</f>
        <v>110.735</v>
      </c>
      <c r="G948" s="21"/>
    </row>
    <row r="949">
      <c r="A949" s="20">
        <f>IFERROR(__xludf.DUMMYFUNCTION("""COMPUTED_VALUE"""),45509.0)</f>
        <v>45509</v>
      </c>
      <c r="B949" s="21">
        <f>IFERROR(__xludf.DUMMYFUNCTION("""COMPUTED_VALUE"""),118.73)</f>
        <v>118.73</v>
      </c>
      <c r="C949" s="22">
        <f>IFERROR(__xludf.DUMMYFUNCTION("""COMPUTED_VALUE"""),90.4169999999999)</f>
        <v>90.417</v>
      </c>
      <c r="D949" s="22">
        <f>IFERROR(__xludf.DUMMYFUNCTION("""COMPUTED_VALUE"""),159.5)</f>
        <v>159.5</v>
      </c>
      <c r="E949" s="21">
        <f>IFERROR(__xludf.DUMMYFUNCTION("""COMPUTED_VALUE"""),120.70251294285715)</f>
        <v>120.7025129</v>
      </c>
      <c r="F949" s="21">
        <f>IFERROR(__xludf.DUMMYFUNCTION("""COMPUTED_VALUE"""),110.735)</f>
        <v>110.735</v>
      </c>
      <c r="G949" s="21"/>
    </row>
    <row r="950">
      <c r="A950" s="20">
        <f>IFERROR(__xludf.DUMMYFUNCTION("""COMPUTED_VALUE"""),45510.0)</f>
        <v>45510</v>
      </c>
      <c r="B950" s="21">
        <f>IFERROR(__xludf.DUMMYFUNCTION("""COMPUTED_VALUE"""),118.73)</f>
        <v>118.73</v>
      </c>
      <c r="C950" s="22">
        <f>IFERROR(__xludf.DUMMYFUNCTION("""COMPUTED_VALUE"""),90.4169999999999)</f>
        <v>90.417</v>
      </c>
      <c r="D950" s="22">
        <f>IFERROR(__xludf.DUMMYFUNCTION("""COMPUTED_VALUE"""),159.5)</f>
        <v>159.5</v>
      </c>
      <c r="E950" s="21">
        <f>IFERROR(__xludf.DUMMYFUNCTION("""COMPUTED_VALUE"""),123.71715978571429)</f>
        <v>123.7171598</v>
      </c>
      <c r="F950" s="21">
        <f>IFERROR(__xludf.DUMMYFUNCTION("""COMPUTED_VALUE"""),110.735)</f>
        <v>110.735</v>
      </c>
      <c r="G950" s="21"/>
    </row>
    <row r="951">
      <c r="A951" s="20">
        <f>IFERROR(__xludf.DUMMYFUNCTION("""COMPUTED_VALUE"""),45511.0)</f>
        <v>45511</v>
      </c>
      <c r="B951" s="21">
        <f>IFERROR(__xludf.DUMMYFUNCTION("""COMPUTED_VALUE"""),118.73)</f>
        <v>118.73</v>
      </c>
      <c r="C951" s="22">
        <f>IFERROR(__xludf.DUMMYFUNCTION("""COMPUTED_VALUE"""),90.4169999999999)</f>
        <v>90.417</v>
      </c>
      <c r="D951" s="22">
        <f>IFERROR(__xludf.DUMMYFUNCTION("""COMPUTED_VALUE"""),159.5)</f>
        <v>159.5</v>
      </c>
      <c r="E951" s="21">
        <f>IFERROR(__xludf.DUMMYFUNCTION("""COMPUTED_VALUE"""),124.8532340142857)</f>
        <v>124.853234</v>
      </c>
      <c r="F951" s="21">
        <f>IFERROR(__xludf.DUMMYFUNCTION("""COMPUTED_VALUE"""),110.735)</f>
        <v>110.735</v>
      </c>
      <c r="G951" s="21"/>
    </row>
    <row r="952">
      <c r="A952" s="20">
        <f>IFERROR(__xludf.DUMMYFUNCTION("""COMPUTED_VALUE"""),45512.0)</f>
        <v>45512</v>
      </c>
      <c r="B952" s="21">
        <f>IFERROR(__xludf.DUMMYFUNCTION("""COMPUTED_VALUE"""),118.73)</f>
        <v>118.73</v>
      </c>
      <c r="C952" s="22">
        <f>IFERROR(__xludf.DUMMYFUNCTION("""COMPUTED_VALUE"""),90.4169999999999)</f>
        <v>90.417</v>
      </c>
      <c r="D952" s="22">
        <f>IFERROR(__xludf.DUMMYFUNCTION("""COMPUTED_VALUE"""),159.5)</f>
        <v>159.5</v>
      </c>
      <c r="E952" s="21">
        <f>IFERROR(__xludf.DUMMYFUNCTION("""COMPUTED_VALUE"""),126.16914357142856)</f>
        <v>126.1691436</v>
      </c>
      <c r="F952" s="21">
        <f>IFERROR(__xludf.DUMMYFUNCTION("""COMPUTED_VALUE"""),110.735)</f>
        <v>110.735</v>
      </c>
      <c r="G952" s="21"/>
    </row>
    <row r="953">
      <c r="A953" s="20">
        <f>IFERROR(__xludf.DUMMYFUNCTION("""COMPUTED_VALUE"""),45513.0)</f>
        <v>45513</v>
      </c>
      <c r="B953" s="21">
        <f>IFERROR(__xludf.DUMMYFUNCTION("""COMPUTED_VALUE"""),118.73)</f>
        <v>118.73</v>
      </c>
      <c r="C953" s="22">
        <f>IFERROR(__xludf.DUMMYFUNCTION("""COMPUTED_VALUE"""),90.4169999999999)</f>
        <v>90.417</v>
      </c>
      <c r="D953" s="22">
        <f>IFERROR(__xludf.DUMMYFUNCTION("""COMPUTED_VALUE"""),159.5)</f>
        <v>159.5</v>
      </c>
      <c r="E953" s="21">
        <f>IFERROR(__xludf.DUMMYFUNCTION("""COMPUTED_VALUE"""),127.05419248571427)</f>
        <v>127.0541925</v>
      </c>
      <c r="F953" s="21">
        <f>IFERROR(__xludf.DUMMYFUNCTION("""COMPUTED_VALUE"""),110.735)</f>
        <v>110.735</v>
      </c>
      <c r="G953" s="21"/>
    </row>
    <row r="954">
      <c r="A954" s="20">
        <f>IFERROR(__xludf.DUMMYFUNCTION("""COMPUTED_VALUE"""),45514.0)</f>
        <v>45514</v>
      </c>
      <c r="B954" s="21">
        <f>IFERROR(__xludf.DUMMYFUNCTION("""COMPUTED_VALUE"""),118.73)</f>
        <v>118.73</v>
      </c>
      <c r="C954" s="22">
        <f>IFERROR(__xludf.DUMMYFUNCTION("""COMPUTED_VALUE"""),90.4169999999999)</f>
        <v>90.417</v>
      </c>
      <c r="D954" s="22">
        <f>IFERROR(__xludf.DUMMYFUNCTION("""COMPUTED_VALUE"""),159.5)</f>
        <v>159.5</v>
      </c>
      <c r="E954" s="21">
        <f>IFERROR(__xludf.DUMMYFUNCTION("""COMPUTED_VALUE"""),128.9760153)</f>
        <v>128.9760153</v>
      </c>
      <c r="F954" s="21">
        <f>IFERROR(__xludf.DUMMYFUNCTION("""COMPUTED_VALUE"""),110.735)</f>
        <v>110.735</v>
      </c>
      <c r="G954" s="21"/>
    </row>
    <row r="955">
      <c r="A955" s="20">
        <f>IFERROR(__xludf.DUMMYFUNCTION("""COMPUTED_VALUE"""),45515.0)</f>
        <v>45515</v>
      </c>
      <c r="B955" s="21">
        <f>IFERROR(__xludf.DUMMYFUNCTION("""COMPUTED_VALUE"""),118.73)</f>
        <v>118.73</v>
      </c>
      <c r="C955" s="22">
        <f>IFERROR(__xludf.DUMMYFUNCTION("""COMPUTED_VALUE"""),90.4169999999999)</f>
        <v>90.417</v>
      </c>
      <c r="D955" s="22">
        <f>IFERROR(__xludf.DUMMYFUNCTION("""COMPUTED_VALUE"""),159.5)</f>
        <v>159.5</v>
      </c>
      <c r="E955" s="21">
        <f>IFERROR(__xludf.DUMMYFUNCTION("""COMPUTED_VALUE"""),129.92886439999998)</f>
        <v>129.9288644</v>
      </c>
      <c r="F955" s="21">
        <f>IFERROR(__xludf.DUMMYFUNCTION("""COMPUTED_VALUE"""),110.735)</f>
        <v>110.735</v>
      </c>
      <c r="G955" s="21"/>
    </row>
    <row r="956">
      <c r="A956" s="20">
        <f>IFERROR(__xludf.DUMMYFUNCTION("""COMPUTED_VALUE"""),45516.0)</f>
        <v>45516</v>
      </c>
      <c r="B956" s="21">
        <f>IFERROR(__xludf.DUMMYFUNCTION("""COMPUTED_VALUE"""),118.73)</f>
        <v>118.73</v>
      </c>
      <c r="C956" s="22">
        <f>IFERROR(__xludf.DUMMYFUNCTION("""COMPUTED_VALUE"""),90.4169999999999)</f>
        <v>90.417</v>
      </c>
      <c r="D956" s="22">
        <f>IFERROR(__xludf.DUMMYFUNCTION("""COMPUTED_VALUE"""),159.5)</f>
        <v>159.5</v>
      </c>
      <c r="E956" s="21">
        <f>IFERROR(__xludf.DUMMYFUNCTION("""COMPUTED_VALUE"""),131.86977499999998)</f>
        <v>131.869775</v>
      </c>
      <c r="F956" s="21">
        <f>IFERROR(__xludf.DUMMYFUNCTION("""COMPUTED_VALUE"""),110.735)</f>
        <v>110.735</v>
      </c>
      <c r="G956" s="21"/>
    </row>
    <row r="957">
      <c r="A957" s="23">
        <f>IFERROR(__xludf.DUMMYFUNCTION("""COMPUTED_VALUE"""),45517.0)</f>
        <v>45517</v>
      </c>
      <c r="B957" s="21">
        <f>IFERROR(__xludf.DUMMYFUNCTION("""COMPUTED_VALUE"""),118.73)</f>
        <v>118.73</v>
      </c>
      <c r="C957" s="22">
        <f>IFERROR(__xludf.DUMMYFUNCTION("""COMPUTED_VALUE"""),90.4169999999999)</f>
        <v>90.417</v>
      </c>
      <c r="D957" s="22">
        <f>IFERROR(__xludf.DUMMYFUNCTION("""COMPUTED_VALUE"""),159.5)</f>
        <v>159.5</v>
      </c>
      <c r="E957" s="21">
        <f>IFERROR(__xludf.DUMMYFUNCTION("""COMPUTED_VALUE"""),132.7605602142857)</f>
        <v>132.7605602</v>
      </c>
      <c r="F957" s="21">
        <f>IFERROR(__xludf.DUMMYFUNCTION("""COMPUTED_VALUE"""),110.735)</f>
        <v>110.735</v>
      </c>
      <c r="G957" s="21"/>
    </row>
    <row r="958">
      <c r="A958" s="23">
        <f>IFERROR(__xludf.DUMMYFUNCTION("""COMPUTED_VALUE"""),45518.0)</f>
        <v>45518</v>
      </c>
      <c r="B958" s="21">
        <f>IFERROR(__xludf.DUMMYFUNCTION("""COMPUTED_VALUE"""),118.73)</f>
        <v>118.73</v>
      </c>
      <c r="C958" s="22">
        <f>IFERROR(__xludf.DUMMYFUNCTION("""COMPUTED_VALUE"""),90.4169999999999)</f>
        <v>90.417</v>
      </c>
      <c r="D958" s="22">
        <f>IFERROR(__xludf.DUMMYFUNCTION("""COMPUTED_VALUE"""),159.5)</f>
        <v>159.5</v>
      </c>
      <c r="E958" s="21">
        <f>IFERROR(__xludf.DUMMYFUNCTION("""COMPUTED_VALUE"""),133.46184675714287)</f>
        <v>133.4618468</v>
      </c>
      <c r="F958" s="21">
        <f>IFERROR(__xludf.DUMMYFUNCTION("""COMPUTED_VALUE"""),110.735)</f>
        <v>110.735</v>
      </c>
      <c r="G958" s="21"/>
    </row>
    <row r="959">
      <c r="A959" s="23">
        <f>IFERROR(__xludf.DUMMYFUNCTION("""COMPUTED_VALUE"""),45519.0)</f>
        <v>45519</v>
      </c>
      <c r="B959" s="21">
        <f>IFERROR(__xludf.DUMMYFUNCTION("""COMPUTED_VALUE"""),118.73)</f>
        <v>118.73</v>
      </c>
      <c r="C959" s="22">
        <f>IFERROR(__xludf.DUMMYFUNCTION("""COMPUTED_VALUE"""),90.4169999999999)</f>
        <v>90.417</v>
      </c>
      <c r="D959" s="22">
        <f>IFERROR(__xludf.DUMMYFUNCTION("""COMPUTED_VALUE"""),159.5)</f>
        <v>159.5</v>
      </c>
      <c r="E959" s="21">
        <f>IFERROR(__xludf.DUMMYFUNCTION("""COMPUTED_VALUE"""),133.2776323142857)</f>
        <v>133.2776323</v>
      </c>
      <c r="F959" s="21">
        <f>IFERROR(__xludf.DUMMYFUNCTION("""COMPUTED_VALUE"""),110.735)</f>
        <v>110.735</v>
      </c>
      <c r="G959" s="21"/>
    </row>
    <row r="960">
      <c r="A960" s="23">
        <f>IFERROR(__xludf.DUMMYFUNCTION("""COMPUTED_VALUE"""),45520.0)</f>
        <v>45520</v>
      </c>
      <c r="B960" s="21">
        <f>IFERROR(__xludf.DUMMYFUNCTION("""COMPUTED_VALUE"""),118.73)</f>
        <v>118.73</v>
      </c>
      <c r="C960" s="22">
        <f>IFERROR(__xludf.DUMMYFUNCTION("""COMPUTED_VALUE"""),90.4169999999999)</f>
        <v>90.417</v>
      </c>
      <c r="D960" s="22">
        <f>IFERROR(__xludf.DUMMYFUNCTION("""COMPUTED_VALUE"""),159.5)</f>
        <v>159.5</v>
      </c>
      <c r="E960" s="21">
        <f>IFERROR(__xludf.DUMMYFUNCTION("""COMPUTED_VALUE"""),133.5927443)</f>
        <v>133.5927443</v>
      </c>
      <c r="F960" s="21">
        <f>IFERROR(__xludf.DUMMYFUNCTION("""COMPUTED_VALUE"""),110.735)</f>
        <v>110.735</v>
      </c>
      <c r="G960" s="21"/>
    </row>
    <row r="961">
      <c r="A961" s="23">
        <f>IFERROR(__xludf.DUMMYFUNCTION("""COMPUTED_VALUE"""),45521.0)</f>
        <v>45521</v>
      </c>
      <c r="B961" s="21">
        <f>IFERROR(__xludf.DUMMYFUNCTION("""COMPUTED_VALUE"""),118.73)</f>
        <v>118.73</v>
      </c>
      <c r="C961" s="22">
        <f>IFERROR(__xludf.DUMMYFUNCTION("""COMPUTED_VALUE"""),90.4169999999999)</f>
        <v>90.417</v>
      </c>
      <c r="D961" s="22">
        <f>IFERROR(__xludf.DUMMYFUNCTION("""COMPUTED_VALUE"""),159.5)</f>
        <v>159.5</v>
      </c>
      <c r="E961" s="21">
        <f>IFERROR(__xludf.DUMMYFUNCTION("""COMPUTED_VALUE"""),132.93982672857143)</f>
        <v>132.9398267</v>
      </c>
      <c r="F961" s="21">
        <f>IFERROR(__xludf.DUMMYFUNCTION("""COMPUTED_VALUE"""),110.735)</f>
        <v>110.735</v>
      </c>
      <c r="G961" s="21"/>
    </row>
    <row r="962">
      <c r="A962" s="23">
        <f>IFERROR(__xludf.DUMMYFUNCTION("""COMPUTED_VALUE"""),45522.0)</f>
        <v>45522</v>
      </c>
      <c r="B962" s="21">
        <f>IFERROR(__xludf.DUMMYFUNCTION("""COMPUTED_VALUE"""),118.73)</f>
        <v>118.73</v>
      </c>
      <c r="C962" s="22">
        <f>IFERROR(__xludf.DUMMYFUNCTION("""COMPUTED_VALUE"""),90.4169999999999)</f>
        <v>90.417</v>
      </c>
      <c r="D962" s="22">
        <f>IFERROR(__xludf.DUMMYFUNCTION("""COMPUTED_VALUE"""),159.5)</f>
        <v>159.5</v>
      </c>
      <c r="E962" s="21">
        <f>IFERROR(__xludf.DUMMYFUNCTION("""COMPUTED_VALUE"""),131.62616105714287)</f>
        <v>131.6261611</v>
      </c>
      <c r="F962" s="21">
        <f>IFERROR(__xludf.DUMMYFUNCTION("""COMPUTED_VALUE"""),110.735)</f>
        <v>110.735</v>
      </c>
      <c r="G962" s="21"/>
    </row>
    <row r="963">
      <c r="A963" s="23">
        <f>IFERROR(__xludf.DUMMYFUNCTION("""COMPUTED_VALUE"""),45523.0)</f>
        <v>45523</v>
      </c>
      <c r="B963" s="21">
        <f>IFERROR(__xludf.DUMMYFUNCTION("""COMPUTED_VALUE"""),118.73)</f>
        <v>118.73</v>
      </c>
      <c r="C963" s="22">
        <f>IFERROR(__xludf.DUMMYFUNCTION("""COMPUTED_VALUE"""),90.4169999999999)</f>
        <v>90.417</v>
      </c>
      <c r="D963" s="22">
        <f>IFERROR(__xludf.DUMMYFUNCTION("""COMPUTED_VALUE"""),159.5)</f>
        <v>159.5</v>
      </c>
      <c r="E963" s="21">
        <f>IFERROR(__xludf.DUMMYFUNCTION("""COMPUTED_VALUE"""),129.39293690000002)</f>
        <v>129.3929369</v>
      </c>
      <c r="F963" s="21">
        <f>IFERROR(__xludf.DUMMYFUNCTION("""COMPUTED_VALUE"""),110.735)</f>
        <v>110.735</v>
      </c>
      <c r="G963" s="21"/>
    </row>
    <row r="964">
      <c r="A964" s="23">
        <f>IFERROR(__xludf.DUMMYFUNCTION("""COMPUTED_VALUE"""),45524.0)</f>
        <v>45524</v>
      </c>
      <c r="B964" s="21">
        <f>IFERROR(__xludf.DUMMYFUNCTION("""COMPUTED_VALUE"""),118.73)</f>
        <v>118.73</v>
      </c>
      <c r="C964" s="22">
        <f>IFERROR(__xludf.DUMMYFUNCTION("""COMPUTED_VALUE"""),90.4169999999999)</f>
        <v>90.417</v>
      </c>
      <c r="D964" s="22">
        <f>IFERROR(__xludf.DUMMYFUNCTION("""COMPUTED_VALUE"""),159.5)</f>
        <v>159.5</v>
      </c>
      <c r="E964" s="21">
        <f>IFERROR(__xludf.DUMMYFUNCTION("""COMPUTED_VALUE"""),126.98091975714286)</f>
        <v>126.9809198</v>
      </c>
      <c r="F964" s="21">
        <f>IFERROR(__xludf.DUMMYFUNCTION("""COMPUTED_VALUE"""),110.735)</f>
        <v>110.735</v>
      </c>
      <c r="G964" s="21"/>
    </row>
    <row r="965">
      <c r="A965" s="23">
        <f>IFERROR(__xludf.DUMMYFUNCTION("""COMPUTED_VALUE"""),45525.0)</f>
        <v>45525</v>
      </c>
      <c r="B965" s="21">
        <f>IFERROR(__xludf.DUMMYFUNCTION("""COMPUTED_VALUE"""),118.73)</f>
        <v>118.73</v>
      </c>
      <c r="C965" s="22">
        <f>IFERROR(__xludf.DUMMYFUNCTION("""COMPUTED_VALUE"""),90.4169999999999)</f>
        <v>90.417</v>
      </c>
      <c r="D965" s="22">
        <f>IFERROR(__xludf.DUMMYFUNCTION("""COMPUTED_VALUE"""),159.5)</f>
        <v>159.5</v>
      </c>
      <c r="E965" s="21">
        <f>IFERROR(__xludf.DUMMYFUNCTION("""COMPUTED_VALUE"""),125.89480124285716)</f>
        <v>125.8948012</v>
      </c>
      <c r="F965" s="21">
        <f>IFERROR(__xludf.DUMMYFUNCTION("""COMPUTED_VALUE"""),110.735)</f>
        <v>110.735</v>
      </c>
      <c r="G965" s="21"/>
    </row>
    <row r="966">
      <c r="A966" s="23">
        <f>IFERROR(__xludf.DUMMYFUNCTION("""COMPUTED_VALUE"""),45526.0)</f>
        <v>45526</v>
      </c>
      <c r="B966" s="21">
        <f>IFERROR(__xludf.DUMMYFUNCTION("""COMPUTED_VALUE"""),118.73)</f>
        <v>118.73</v>
      </c>
      <c r="C966" s="22">
        <f>IFERROR(__xludf.DUMMYFUNCTION("""COMPUTED_VALUE"""),90.4169999999999)</f>
        <v>90.417</v>
      </c>
      <c r="D966" s="22">
        <f>IFERROR(__xludf.DUMMYFUNCTION("""COMPUTED_VALUE"""),159.5)</f>
        <v>159.5</v>
      </c>
      <c r="E966" s="21">
        <f>IFERROR(__xludf.DUMMYFUNCTION("""COMPUTED_VALUE"""),123.8713035)</f>
        <v>123.8713035</v>
      </c>
      <c r="F966" s="21">
        <f>IFERROR(__xludf.DUMMYFUNCTION("""COMPUTED_VALUE"""),110.735)</f>
        <v>110.735</v>
      </c>
      <c r="G966" s="21"/>
    </row>
    <row r="967">
      <c r="A967" s="23">
        <f>IFERROR(__xludf.DUMMYFUNCTION("""COMPUTED_VALUE"""),45527.0)</f>
        <v>45527</v>
      </c>
      <c r="B967" s="21">
        <f>IFERROR(__xludf.DUMMYFUNCTION("""COMPUTED_VALUE"""),118.73)</f>
        <v>118.73</v>
      </c>
      <c r="C967" s="22">
        <f>IFERROR(__xludf.DUMMYFUNCTION("""COMPUTED_VALUE"""),90.4169999999999)</f>
        <v>90.417</v>
      </c>
      <c r="D967" s="22">
        <f>IFERROR(__xludf.DUMMYFUNCTION("""COMPUTED_VALUE"""),159.5)</f>
        <v>159.5</v>
      </c>
      <c r="E967" s="21">
        <f>IFERROR(__xludf.DUMMYFUNCTION("""COMPUTED_VALUE"""),124.01198218571427)</f>
        <v>124.0119822</v>
      </c>
      <c r="F967" s="21">
        <f>IFERROR(__xludf.DUMMYFUNCTION("""COMPUTED_VALUE"""),110.735)</f>
        <v>110.735</v>
      </c>
      <c r="G967" s="21"/>
    </row>
    <row r="968">
      <c r="A968" s="23">
        <f>IFERROR(__xludf.DUMMYFUNCTION("""COMPUTED_VALUE"""),45528.0)</f>
        <v>45528</v>
      </c>
      <c r="B968" s="21">
        <f>IFERROR(__xludf.DUMMYFUNCTION("""COMPUTED_VALUE"""),118.73)</f>
        <v>118.73</v>
      </c>
      <c r="C968" s="22">
        <f>IFERROR(__xludf.DUMMYFUNCTION("""COMPUTED_VALUE"""),90.4169999999999)</f>
        <v>90.417</v>
      </c>
      <c r="D968" s="22">
        <f>IFERROR(__xludf.DUMMYFUNCTION("""COMPUTED_VALUE"""),159.5)</f>
        <v>159.5</v>
      </c>
      <c r="E968" s="21">
        <f>IFERROR(__xludf.DUMMYFUNCTION("""COMPUTED_VALUE"""),123.65063088571428)</f>
        <v>123.6506309</v>
      </c>
      <c r="F968" s="21">
        <f>IFERROR(__xludf.DUMMYFUNCTION("""COMPUTED_VALUE"""),110.735)</f>
        <v>110.735</v>
      </c>
      <c r="G968" s="21"/>
    </row>
    <row r="969">
      <c r="A969" s="23">
        <f>IFERROR(__xludf.DUMMYFUNCTION("""COMPUTED_VALUE"""),45529.0)</f>
        <v>45529</v>
      </c>
      <c r="B969" s="21">
        <f>IFERROR(__xludf.DUMMYFUNCTION("""COMPUTED_VALUE"""),118.73)</f>
        <v>118.73</v>
      </c>
      <c r="C969" s="22">
        <f>IFERROR(__xludf.DUMMYFUNCTION("""COMPUTED_VALUE"""),90.4169999999999)</f>
        <v>90.417</v>
      </c>
      <c r="D969" s="22">
        <f>IFERROR(__xludf.DUMMYFUNCTION("""COMPUTED_VALUE"""),159.5)</f>
        <v>159.5</v>
      </c>
      <c r="E969" s="21">
        <f>IFERROR(__xludf.DUMMYFUNCTION("""COMPUTED_VALUE"""),124.42789617142856)</f>
        <v>124.4278962</v>
      </c>
      <c r="F969" s="21">
        <f>IFERROR(__xludf.DUMMYFUNCTION("""COMPUTED_VALUE"""),110.735)</f>
        <v>110.735</v>
      </c>
      <c r="G969" s="21"/>
    </row>
    <row r="970">
      <c r="A970" s="23">
        <f>IFERROR(__xludf.DUMMYFUNCTION("""COMPUTED_VALUE"""),45530.0)</f>
        <v>45530</v>
      </c>
      <c r="B970" s="21">
        <f>IFERROR(__xludf.DUMMYFUNCTION("""COMPUTED_VALUE"""),118.76)</f>
        <v>118.76</v>
      </c>
      <c r="C970" s="22">
        <f>IFERROR(__xludf.DUMMYFUNCTION("""COMPUTED_VALUE"""),90.417)</f>
        <v>90.417</v>
      </c>
      <c r="D970" s="22">
        <f>IFERROR(__xludf.DUMMYFUNCTION("""COMPUTED_VALUE"""),159.5)</f>
        <v>159.5</v>
      </c>
      <c r="E970" s="21">
        <f>IFERROR(__xludf.DUMMYFUNCTION("""COMPUTED_VALUE"""),126.42187921428571)</f>
        <v>126.4218792</v>
      </c>
      <c r="F970" s="21">
        <f>IFERROR(__xludf.DUMMYFUNCTION("""COMPUTED_VALUE"""),110.735)</f>
        <v>110.735</v>
      </c>
      <c r="G970" s="21"/>
    </row>
    <row r="971">
      <c r="A971" s="23">
        <f>IFERROR(__xludf.DUMMYFUNCTION("""COMPUTED_VALUE"""),45531.0)</f>
        <v>45531</v>
      </c>
      <c r="B971" s="21">
        <f>IFERROR(__xludf.DUMMYFUNCTION("""COMPUTED_VALUE"""),118.76)</f>
        <v>118.76</v>
      </c>
      <c r="C971" s="22">
        <f>IFERROR(__xludf.DUMMYFUNCTION("""COMPUTED_VALUE"""),90.417)</f>
        <v>90.417</v>
      </c>
      <c r="D971" s="22">
        <f>IFERROR(__xludf.DUMMYFUNCTION("""COMPUTED_VALUE"""),159.5)</f>
        <v>159.5</v>
      </c>
      <c r="E971" s="21">
        <f>IFERROR(__xludf.DUMMYFUNCTION("""COMPUTED_VALUE"""),130.0736372285714)</f>
        <v>130.0736372</v>
      </c>
      <c r="F971" s="21">
        <f>IFERROR(__xludf.DUMMYFUNCTION("""COMPUTED_VALUE"""),110.735)</f>
        <v>110.735</v>
      </c>
      <c r="G971" s="21"/>
    </row>
    <row r="972">
      <c r="A972" s="23">
        <f>IFERROR(__xludf.DUMMYFUNCTION("""COMPUTED_VALUE"""),45532.0)</f>
        <v>45532</v>
      </c>
      <c r="B972" s="21">
        <f>IFERROR(__xludf.DUMMYFUNCTION("""COMPUTED_VALUE"""),118.76)</f>
        <v>118.76</v>
      </c>
      <c r="C972" s="22">
        <f>IFERROR(__xludf.DUMMYFUNCTION("""COMPUTED_VALUE"""),90.417)</f>
        <v>90.417</v>
      </c>
      <c r="D972" s="22">
        <f>IFERROR(__xludf.DUMMYFUNCTION("""COMPUTED_VALUE"""),159.5)</f>
        <v>159.5</v>
      </c>
      <c r="E972" s="21">
        <f>IFERROR(__xludf.DUMMYFUNCTION("""COMPUTED_VALUE"""),132.8536139285714)</f>
        <v>132.8536139</v>
      </c>
      <c r="F972" s="21">
        <f>IFERROR(__xludf.DUMMYFUNCTION("""COMPUTED_VALUE"""),110.735)</f>
        <v>110.735</v>
      </c>
      <c r="G972" s="21"/>
    </row>
    <row r="973">
      <c r="A973" s="23">
        <f>IFERROR(__xludf.DUMMYFUNCTION("""COMPUTED_VALUE"""),45533.0)</f>
        <v>45533</v>
      </c>
      <c r="B973" s="21">
        <f>IFERROR(__xludf.DUMMYFUNCTION("""COMPUTED_VALUE"""),118.76)</f>
        <v>118.76</v>
      </c>
      <c r="C973" s="22">
        <f>IFERROR(__xludf.DUMMYFUNCTION("""COMPUTED_VALUE"""),90.417)</f>
        <v>90.417</v>
      </c>
      <c r="D973" s="22">
        <f>IFERROR(__xludf.DUMMYFUNCTION("""COMPUTED_VALUE"""),159.5)</f>
        <v>159.5</v>
      </c>
      <c r="E973" s="21">
        <f>IFERROR(__xludf.DUMMYFUNCTION("""COMPUTED_VALUE"""),136.2641792)</f>
        <v>136.2641792</v>
      </c>
      <c r="F973" s="21">
        <f>IFERROR(__xludf.DUMMYFUNCTION("""COMPUTED_VALUE"""),110.735)</f>
        <v>110.735</v>
      </c>
      <c r="G973" s="21"/>
    </row>
    <row r="974">
      <c r="A974" s="23">
        <f>IFERROR(__xludf.DUMMYFUNCTION("""COMPUTED_VALUE"""),45534.0)</f>
        <v>45534</v>
      </c>
      <c r="B974" s="21">
        <f>IFERROR(__xludf.DUMMYFUNCTION("""COMPUTED_VALUE"""),118.76)</f>
        <v>118.76</v>
      </c>
      <c r="C974" s="22">
        <f>IFERROR(__xludf.DUMMYFUNCTION("""COMPUTED_VALUE"""),90.417)</f>
        <v>90.417</v>
      </c>
      <c r="D974" s="22">
        <f>IFERROR(__xludf.DUMMYFUNCTION("""COMPUTED_VALUE"""),159.5)</f>
        <v>159.5</v>
      </c>
      <c r="E974" s="21">
        <f>IFERROR(__xludf.DUMMYFUNCTION("""COMPUTED_VALUE"""),137.2484953)</f>
        <v>137.2484953</v>
      </c>
      <c r="F974" s="21">
        <f>IFERROR(__xludf.DUMMYFUNCTION("""COMPUTED_VALUE"""),110.735)</f>
        <v>110.735</v>
      </c>
      <c r="G974" s="21"/>
    </row>
    <row r="975">
      <c r="A975" s="23">
        <f>IFERROR(__xludf.DUMMYFUNCTION("""COMPUTED_VALUE"""),45535.0)</f>
        <v>45535</v>
      </c>
      <c r="B975" s="21">
        <f>IFERROR(__xludf.DUMMYFUNCTION("""COMPUTED_VALUE"""),118.76)</f>
        <v>118.76</v>
      </c>
      <c r="C975" s="22">
        <f>IFERROR(__xludf.DUMMYFUNCTION("""COMPUTED_VALUE"""),90.417)</f>
        <v>90.417</v>
      </c>
      <c r="D975" s="22">
        <f>IFERROR(__xludf.DUMMYFUNCTION("""COMPUTED_VALUE"""),159.5)</f>
        <v>159.5</v>
      </c>
      <c r="E975" s="21">
        <f>IFERROR(__xludf.DUMMYFUNCTION("""COMPUTED_VALUE"""),137.47106885714285)</f>
        <v>137.4710689</v>
      </c>
      <c r="F975" s="21">
        <f>IFERROR(__xludf.DUMMYFUNCTION("""COMPUTED_VALUE"""),110.735)</f>
        <v>110.735</v>
      </c>
      <c r="G975" s="21"/>
    </row>
    <row r="976">
      <c r="A976" s="20">
        <f>IFERROR(__xludf.DUMMYFUNCTION("""COMPUTED_VALUE"""),45536.0)</f>
        <v>45536</v>
      </c>
      <c r="B976" s="21">
        <f>IFERROR(__xludf.DUMMYFUNCTION("""COMPUTED_VALUE"""),118.76)</f>
        <v>118.76</v>
      </c>
      <c r="C976" s="22">
        <f>IFERROR(__xludf.DUMMYFUNCTION("""COMPUTED_VALUE"""),90.417)</f>
        <v>90.417</v>
      </c>
      <c r="D976" s="22">
        <f>IFERROR(__xludf.DUMMYFUNCTION("""COMPUTED_VALUE"""),159.5)</f>
        <v>159.5</v>
      </c>
      <c r="E976" s="21">
        <f>IFERROR(__xludf.DUMMYFUNCTION("""COMPUTED_VALUE"""),136.64243577142858)</f>
        <v>136.6424358</v>
      </c>
      <c r="F976" s="21">
        <f>IFERROR(__xludf.DUMMYFUNCTION("""COMPUTED_VALUE"""),110.735)</f>
        <v>110.735</v>
      </c>
      <c r="G976" s="21"/>
    </row>
    <row r="977">
      <c r="A977" s="20">
        <f>IFERROR(__xludf.DUMMYFUNCTION("""COMPUTED_VALUE"""),45537.0)</f>
        <v>45537</v>
      </c>
      <c r="B977" s="21">
        <f>IFERROR(__xludf.DUMMYFUNCTION("""COMPUTED_VALUE"""),118.76)</f>
        <v>118.76</v>
      </c>
      <c r="C977" s="22">
        <f>IFERROR(__xludf.DUMMYFUNCTION("""COMPUTED_VALUE"""),90.417)</f>
        <v>90.417</v>
      </c>
      <c r="D977" s="22">
        <f>IFERROR(__xludf.DUMMYFUNCTION("""COMPUTED_VALUE"""),159.5)</f>
        <v>159.5</v>
      </c>
      <c r="E977" s="21">
        <f>IFERROR(__xludf.DUMMYFUNCTION("""COMPUTED_VALUE"""),141.1926152142857)</f>
        <v>141.1926152</v>
      </c>
      <c r="F977" s="21">
        <f>IFERROR(__xludf.DUMMYFUNCTION("""COMPUTED_VALUE"""),110.88678571428571)</f>
        <v>110.8867857</v>
      </c>
      <c r="G977" s="21"/>
    </row>
    <row r="978">
      <c r="A978" s="20">
        <f>IFERROR(__xludf.DUMMYFUNCTION("""COMPUTED_VALUE"""),45538.0)</f>
        <v>45538</v>
      </c>
      <c r="B978" s="21">
        <f>IFERROR(__xludf.DUMMYFUNCTION("""COMPUTED_VALUE"""),118.76)</f>
        <v>118.76</v>
      </c>
      <c r="C978" s="22">
        <f>IFERROR(__xludf.DUMMYFUNCTION("""COMPUTED_VALUE"""),90.417)</f>
        <v>90.417</v>
      </c>
      <c r="D978" s="22">
        <f>IFERROR(__xludf.DUMMYFUNCTION("""COMPUTED_VALUE"""),159.5)</f>
        <v>159.5</v>
      </c>
      <c r="E978" s="21">
        <f>IFERROR(__xludf.DUMMYFUNCTION("""COMPUTED_VALUE"""),142.2562111857143)</f>
        <v>142.2562112</v>
      </c>
      <c r="F978" s="21">
        <f>IFERROR(__xludf.DUMMYFUNCTION("""COMPUTED_VALUE"""),111.03857142857143)</f>
        <v>111.0385714</v>
      </c>
      <c r="G978" s="21"/>
    </row>
    <row r="979">
      <c r="A979" s="20">
        <f>IFERROR(__xludf.DUMMYFUNCTION("""COMPUTED_VALUE"""),45539.0)</f>
        <v>45539</v>
      </c>
      <c r="B979" s="21">
        <f>IFERROR(__xludf.DUMMYFUNCTION("""COMPUTED_VALUE"""),118.76)</f>
        <v>118.76</v>
      </c>
      <c r="C979" s="22">
        <f>IFERROR(__xludf.DUMMYFUNCTION("""COMPUTED_VALUE"""),90.417)</f>
        <v>90.417</v>
      </c>
      <c r="D979" s="22">
        <f>IFERROR(__xludf.DUMMYFUNCTION("""COMPUTED_VALUE"""),159.5)</f>
        <v>159.5</v>
      </c>
      <c r="E979" s="21">
        <f>IFERROR(__xludf.DUMMYFUNCTION("""COMPUTED_VALUE"""),143.3459135142857)</f>
        <v>143.3459135</v>
      </c>
      <c r="F979" s="21">
        <f>IFERROR(__xludf.DUMMYFUNCTION("""COMPUTED_VALUE"""),111.19035714285714)</f>
        <v>111.1903571</v>
      </c>
      <c r="G979" s="21"/>
    </row>
    <row r="980">
      <c r="A980" s="20">
        <f>IFERROR(__xludf.DUMMYFUNCTION("""COMPUTED_VALUE"""),45540.0)</f>
        <v>45540</v>
      </c>
      <c r="B980" s="21">
        <f>IFERROR(__xludf.DUMMYFUNCTION("""COMPUTED_VALUE"""),118.76)</f>
        <v>118.76</v>
      </c>
      <c r="C980" s="22">
        <f>IFERROR(__xludf.DUMMYFUNCTION("""COMPUTED_VALUE"""),90.417)</f>
        <v>90.417</v>
      </c>
      <c r="D980" s="22">
        <f>IFERROR(__xludf.DUMMYFUNCTION("""COMPUTED_VALUE"""),159.5)</f>
        <v>159.5</v>
      </c>
      <c r="E980" s="21">
        <f>IFERROR(__xludf.DUMMYFUNCTION("""COMPUTED_VALUE"""),143.15925218571428)</f>
        <v>143.1592522</v>
      </c>
      <c r="F980" s="21">
        <f>IFERROR(__xludf.DUMMYFUNCTION("""COMPUTED_VALUE"""),111.34214285714286)</f>
        <v>111.3421429</v>
      </c>
      <c r="G980" s="21"/>
    </row>
    <row r="981">
      <c r="A981" s="20">
        <f>IFERROR(__xludf.DUMMYFUNCTION("""COMPUTED_VALUE"""),45541.0)</f>
        <v>45541</v>
      </c>
      <c r="B981" s="21">
        <f>IFERROR(__xludf.DUMMYFUNCTION("""COMPUTED_VALUE"""),118.76)</f>
        <v>118.76</v>
      </c>
      <c r="C981" s="22">
        <f>IFERROR(__xludf.DUMMYFUNCTION("""COMPUTED_VALUE"""),90.417)</f>
        <v>90.417</v>
      </c>
      <c r="D981" s="22">
        <f>IFERROR(__xludf.DUMMYFUNCTION("""COMPUTED_VALUE"""),159.5)</f>
        <v>159.5</v>
      </c>
      <c r="E981" s="21">
        <f>IFERROR(__xludf.DUMMYFUNCTION("""COMPUTED_VALUE"""),142.5741654)</f>
        <v>142.5741654</v>
      </c>
      <c r="F981" s="21">
        <f>IFERROR(__xludf.DUMMYFUNCTION("""COMPUTED_VALUE"""),111.49392857142857)</f>
        <v>111.4939286</v>
      </c>
      <c r="G981" s="21"/>
    </row>
    <row r="982">
      <c r="A982" s="20">
        <f>IFERROR(__xludf.DUMMYFUNCTION("""COMPUTED_VALUE"""),45542.0)</f>
        <v>45542</v>
      </c>
      <c r="B982" s="21">
        <f>IFERROR(__xludf.DUMMYFUNCTION("""COMPUTED_VALUE"""),118.76)</f>
        <v>118.76</v>
      </c>
      <c r="C982" s="22">
        <f>IFERROR(__xludf.DUMMYFUNCTION("""COMPUTED_VALUE"""),90.417)</f>
        <v>90.417</v>
      </c>
      <c r="D982" s="22">
        <f>IFERROR(__xludf.DUMMYFUNCTION("""COMPUTED_VALUE"""),159.5)</f>
        <v>159.5</v>
      </c>
      <c r="E982" s="21">
        <f>IFERROR(__xludf.DUMMYFUNCTION("""COMPUTED_VALUE"""),142.7481112857143)</f>
        <v>142.7481113</v>
      </c>
      <c r="F982" s="21">
        <f>IFERROR(__xludf.DUMMYFUNCTION("""COMPUTED_VALUE"""),111.64571428571428)</f>
        <v>111.6457143</v>
      </c>
      <c r="G982" s="21"/>
    </row>
    <row r="983">
      <c r="A983" s="20">
        <f>IFERROR(__xludf.DUMMYFUNCTION("""COMPUTED_VALUE"""),45543.0)</f>
        <v>45543</v>
      </c>
      <c r="B983" s="21">
        <f>IFERROR(__xludf.DUMMYFUNCTION("""COMPUTED_VALUE"""),118.76)</f>
        <v>118.76</v>
      </c>
      <c r="C983" s="22">
        <f>IFERROR(__xludf.DUMMYFUNCTION("""COMPUTED_VALUE"""),90.417)</f>
        <v>90.417</v>
      </c>
      <c r="D983" s="22">
        <f>IFERROR(__xludf.DUMMYFUNCTION("""COMPUTED_VALUE"""),159.5)</f>
        <v>159.5</v>
      </c>
      <c r="E983" s="21">
        <f>IFERROR(__xludf.DUMMYFUNCTION("""COMPUTED_VALUE"""),141.8661789857143)</f>
        <v>141.866179</v>
      </c>
      <c r="F983" s="21">
        <f>IFERROR(__xludf.DUMMYFUNCTION("""COMPUTED_VALUE"""),111.7975)</f>
        <v>111.7975</v>
      </c>
      <c r="G983" s="21"/>
    </row>
    <row r="984">
      <c r="A984" s="20">
        <f>IFERROR(__xludf.DUMMYFUNCTION("""COMPUTED_VALUE"""),45544.0)</f>
        <v>45544</v>
      </c>
      <c r="B984" s="21">
        <f>IFERROR(__xludf.DUMMYFUNCTION("""COMPUTED_VALUE"""),121.81)</f>
        <v>121.81</v>
      </c>
      <c r="C984" s="22">
        <f>IFERROR(__xludf.DUMMYFUNCTION("""COMPUTED_VALUE"""),90.417)</f>
        <v>90.417</v>
      </c>
      <c r="D984" s="22">
        <f>IFERROR(__xludf.DUMMYFUNCTION("""COMPUTED_VALUE"""),167.54)</f>
        <v>167.54</v>
      </c>
      <c r="E984" s="21">
        <f>IFERROR(__xludf.DUMMYFUNCTION("""COMPUTED_VALUE"""),135.48252050000002)</f>
        <v>135.4825205</v>
      </c>
      <c r="F984" s="21">
        <f>IFERROR(__xludf.DUMMYFUNCTION("""COMPUTED_VALUE"""),111.7975)</f>
        <v>111.7975</v>
      </c>
      <c r="G984" s="21"/>
    </row>
    <row r="985">
      <c r="A985" s="20">
        <f>IFERROR(__xludf.DUMMYFUNCTION("""COMPUTED_VALUE"""),45545.0)</f>
        <v>45545</v>
      </c>
      <c r="B985" s="21">
        <f>IFERROR(__xludf.DUMMYFUNCTION("""COMPUTED_VALUE"""),121.81)</f>
        <v>121.81</v>
      </c>
      <c r="C985" s="22">
        <f>IFERROR(__xludf.DUMMYFUNCTION("""COMPUTED_VALUE"""),90.417)</f>
        <v>90.417</v>
      </c>
      <c r="D985" s="22">
        <f>IFERROR(__xludf.DUMMYFUNCTION("""COMPUTED_VALUE"""),167.54)</f>
        <v>167.54</v>
      </c>
      <c r="E985" s="21">
        <f>IFERROR(__xludf.DUMMYFUNCTION("""COMPUTED_VALUE"""),129.0782945857143)</f>
        <v>129.0782946</v>
      </c>
      <c r="F985" s="21">
        <f>IFERROR(__xludf.DUMMYFUNCTION("""COMPUTED_VALUE"""),111.7975)</f>
        <v>111.7975</v>
      </c>
      <c r="G985" s="21"/>
    </row>
    <row r="986">
      <c r="A986" s="20">
        <f>IFERROR(__xludf.DUMMYFUNCTION("""COMPUTED_VALUE"""),45546.0)</f>
        <v>45546</v>
      </c>
      <c r="B986" s="21">
        <f>IFERROR(__xludf.DUMMYFUNCTION("""COMPUTED_VALUE"""),121.81)</f>
        <v>121.81</v>
      </c>
      <c r="C986" s="22">
        <f>IFERROR(__xludf.DUMMYFUNCTION("""COMPUTED_VALUE"""),90.417)</f>
        <v>90.417</v>
      </c>
      <c r="D986" s="22">
        <f>IFERROR(__xludf.DUMMYFUNCTION("""COMPUTED_VALUE"""),167.54)</f>
        <v>167.54</v>
      </c>
      <c r="E986" s="21">
        <f>IFERROR(__xludf.DUMMYFUNCTION("""COMPUTED_VALUE"""),124.85779542857144)</f>
        <v>124.8577954</v>
      </c>
      <c r="F986" s="21">
        <f>IFERROR(__xludf.DUMMYFUNCTION("""COMPUTED_VALUE"""),111.7975)</f>
        <v>111.7975</v>
      </c>
      <c r="G986" s="21"/>
    </row>
    <row r="987">
      <c r="A987" s="20">
        <f>IFERROR(__xludf.DUMMYFUNCTION("""COMPUTED_VALUE"""),45547.0)</f>
        <v>45547</v>
      </c>
      <c r="B987" s="21">
        <f>IFERROR(__xludf.DUMMYFUNCTION("""COMPUTED_VALUE"""),121.81)</f>
        <v>121.81</v>
      </c>
      <c r="C987" s="22">
        <f>IFERROR(__xludf.DUMMYFUNCTION("""COMPUTED_VALUE"""),90.417)</f>
        <v>90.417</v>
      </c>
      <c r="D987" s="22">
        <f>IFERROR(__xludf.DUMMYFUNCTION("""COMPUTED_VALUE"""),167.54)</f>
        <v>167.54</v>
      </c>
      <c r="E987" s="21">
        <f>IFERROR(__xludf.DUMMYFUNCTION("""COMPUTED_VALUE"""),120.81888974285714)</f>
        <v>120.8188897</v>
      </c>
      <c r="F987" s="21">
        <f>IFERROR(__xludf.DUMMYFUNCTION("""COMPUTED_VALUE"""),111.7975)</f>
        <v>111.7975</v>
      </c>
      <c r="G987" s="21"/>
    </row>
    <row r="988">
      <c r="A988" s="23">
        <f>IFERROR(__xludf.DUMMYFUNCTION("""COMPUTED_VALUE"""),45548.0)</f>
        <v>45548</v>
      </c>
      <c r="B988" s="21">
        <f>IFERROR(__xludf.DUMMYFUNCTION("""COMPUTED_VALUE"""),121.81)</f>
        <v>121.81</v>
      </c>
      <c r="C988" s="22">
        <f>IFERROR(__xludf.DUMMYFUNCTION("""COMPUTED_VALUE"""),90.417)</f>
        <v>90.417</v>
      </c>
      <c r="D988" s="22">
        <f>IFERROR(__xludf.DUMMYFUNCTION("""COMPUTED_VALUE"""),167.54)</f>
        <v>167.54</v>
      </c>
      <c r="E988" s="21">
        <f>IFERROR(__xludf.DUMMYFUNCTION("""COMPUTED_VALUE"""),116.41138134285715)</f>
        <v>116.4113813</v>
      </c>
      <c r="F988" s="21">
        <f>IFERROR(__xludf.DUMMYFUNCTION("""COMPUTED_VALUE"""),111.7975)</f>
        <v>111.7975</v>
      </c>
      <c r="G988" s="21"/>
    </row>
    <row r="989">
      <c r="A989" s="23">
        <f>IFERROR(__xludf.DUMMYFUNCTION("""COMPUTED_VALUE"""),45549.0)</f>
        <v>45549</v>
      </c>
      <c r="B989" s="21">
        <f>IFERROR(__xludf.DUMMYFUNCTION("""COMPUTED_VALUE"""),121.81)</f>
        <v>121.81</v>
      </c>
      <c r="C989" s="22">
        <f>IFERROR(__xludf.DUMMYFUNCTION("""COMPUTED_VALUE"""),90.417)</f>
        <v>90.417</v>
      </c>
      <c r="D989" s="22">
        <f>IFERROR(__xludf.DUMMYFUNCTION("""COMPUTED_VALUE"""),167.54)</f>
        <v>167.54</v>
      </c>
      <c r="E989" s="21">
        <f>IFERROR(__xludf.DUMMYFUNCTION("""COMPUTED_VALUE"""),112.56878971714286)</f>
        <v>112.5687897</v>
      </c>
      <c r="F989" s="21">
        <f>IFERROR(__xludf.DUMMYFUNCTION("""COMPUTED_VALUE"""),111.7975)</f>
        <v>111.7975</v>
      </c>
      <c r="G989" s="21"/>
    </row>
    <row r="990">
      <c r="A990" s="23">
        <f>IFERROR(__xludf.DUMMYFUNCTION("""COMPUTED_VALUE"""),45550.0)</f>
        <v>45550</v>
      </c>
      <c r="B990" s="21">
        <f>IFERROR(__xludf.DUMMYFUNCTION("""COMPUTED_VALUE"""),121.81)</f>
        <v>121.81</v>
      </c>
      <c r="C990" s="22">
        <f>IFERROR(__xludf.DUMMYFUNCTION("""COMPUTED_VALUE"""),90.417)</f>
        <v>90.417</v>
      </c>
      <c r="D990" s="22">
        <f>IFERROR(__xludf.DUMMYFUNCTION("""COMPUTED_VALUE"""),167.54)</f>
        <v>167.54</v>
      </c>
      <c r="E990" s="21">
        <f>IFERROR(__xludf.DUMMYFUNCTION("""COMPUTED_VALUE"""),109.08570451000001)</f>
        <v>109.0857045</v>
      </c>
      <c r="F990" s="21">
        <f>IFERROR(__xludf.DUMMYFUNCTION("""COMPUTED_VALUE"""),111.7975)</f>
        <v>111.7975</v>
      </c>
      <c r="G990" s="21"/>
    </row>
    <row r="991">
      <c r="A991" s="23">
        <f>IFERROR(__xludf.DUMMYFUNCTION("""COMPUTED_VALUE"""),45551.0)</f>
        <v>45551</v>
      </c>
      <c r="B991" s="21">
        <f>IFERROR(__xludf.DUMMYFUNCTION("""COMPUTED_VALUE"""),121.81)</f>
        <v>121.81</v>
      </c>
      <c r="C991" s="22">
        <f>IFERROR(__xludf.DUMMYFUNCTION("""COMPUTED_VALUE"""),90.417)</f>
        <v>90.417</v>
      </c>
      <c r="D991" s="22">
        <f>IFERROR(__xludf.DUMMYFUNCTION("""COMPUTED_VALUE"""),167.54)</f>
        <v>167.54</v>
      </c>
      <c r="E991" s="21">
        <f>IFERROR(__xludf.DUMMYFUNCTION("""COMPUTED_VALUE"""),108.37578519571427)</f>
        <v>108.3757852</v>
      </c>
      <c r="F991" s="21">
        <f>IFERROR(__xludf.DUMMYFUNCTION("""COMPUTED_VALUE"""),111.62857142857142)</f>
        <v>111.6285714</v>
      </c>
      <c r="G991" s="21"/>
    </row>
    <row r="992">
      <c r="A992" s="23">
        <f>IFERROR(__xludf.DUMMYFUNCTION("""COMPUTED_VALUE"""),45552.0)</f>
        <v>45552</v>
      </c>
      <c r="B992" s="21">
        <f>IFERROR(__xludf.DUMMYFUNCTION("""COMPUTED_VALUE"""),121.81)</f>
        <v>121.81</v>
      </c>
      <c r="C992" s="22">
        <f>IFERROR(__xludf.DUMMYFUNCTION("""COMPUTED_VALUE"""),90.417)</f>
        <v>90.417</v>
      </c>
      <c r="D992" s="22">
        <f>IFERROR(__xludf.DUMMYFUNCTION("""COMPUTED_VALUE"""),167.54)</f>
        <v>167.54</v>
      </c>
      <c r="E992" s="21">
        <f>IFERROR(__xludf.DUMMYFUNCTION("""COMPUTED_VALUE"""),109.55938256714285)</f>
        <v>109.5593826</v>
      </c>
      <c r="F992" s="21">
        <f>IFERROR(__xludf.DUMMYFUNCTION("""COMPUTED_VALUE"""),111.45964285714285)</f>
        <v>111.4596429</v>
      </c>
      <c r="G992" s="21"/>
    </row>
    <row r="993">
      <c r="A993" s="23">
        <f>IFERROR(__xludf.DUMMYFUNCTION("""COMPUTED_VALUE"""),45553.0)</f>
        <v>45553</v>
      </c>
      <c r="B993" s="21">
        <f>IFERROR(__xludf.DUMMYFUNCTION("""COMPUTED_VALUE"""),121.81)</f>
        <v>121.81</v>
      </c>
      <c r="C993" s="22">
        <f>IFERROR(__xludf.DUMMYFUNCTION("""COMPUTED_VALUE"""),90.417)</f>
        <v>90.417</v>
      </c>
      <c r="D993" s="22">
        <f>IFERROR(__xludf.DUMMYFUNCTION("""COMPUTED_VALUE"""),167.54)</f>
        <v>167.54</v>
      </c>
      <c r="E993" s="21">
        <f>IFERROR(__xludf.DUMMYFUNCTION("""COMPUTED_VALUE"""),108.10033959571429)</f>
        <v>108.1003396</v>
      </c>
      <c r="F993" s="21">
        <f>IFERROR(__xludf.DUMMYFUNCTION("""COMPUTED_VALUE"""),111.29071428571429)</f>
        <v>111.2907143</v>
      </c>
      <c r="G993" s="21"/>
    </row>
    <row r="994">
      <c r="A994" s="23">
        <f>IFERROR(__xludf.DUMMYFUNCTION("""COMPUTED_VALUE"""),45554.0)</f>
        <v>45554</v>
      </c>
      <c r="B994" s="21">
        <f>IFERROR(__xludf.DUMMYFUNCTION("""COMPUTED_VALUE"""),121.81)</f>
        <v>121.81</v>
      </c>
      <c r="C994" s="22">
        <f>IFERROR(__xludf.DUMMYFUNCTION("""COMPUTED_VALUE"""),90.417)</f>
        <v>90.417</v>
      </c>
      <c r="D994" s="22">
        <f>IFERROR(__xludf.DUMMYFUNCTION("""COMPUTED_VALUE"""),167.54)</f>
        <v>167.54</v>
      </c>
      <c r="E994" s="21">
        <f>IFERROR(__xludf.DUMMYFUNCTION("""COMPUTED_VALUE"""),107.64778418142855)</f>
        <v>107.6477842</v>
      </c>
      <c r="F994" s="21">
        <f>IFERROR(__xludf.DUMMYFUNCTION("""COMPUTED_VALUE"""),111.1217857142857)</f>
        <v>111.1217857</v>
      </c>
      <c r="G994" s="21"/>
    </row>
    <row r="995">
      <c r="A995" s="23">
        <f>IFERROR(__xludf.DUMMYFUNCTION("""COMPUTED_VALUE"""),45555.0)</f>
        <v>45555</v>
      </c>
      <c r="B995" s="21">
        <f>IFERROR(__xludf.DUMMYFUNCTION("""COMPUTED_VALUE"""),121.81)</f>
        <v>121.81</v>
      </c>
      <c r="C995" s="22">
        <f>IFERROR(__xludf.DUMMYFUNCTION("""COMPUTED_VALUE"""),90.417)</f>
        <v>90.417</v>
      </c>
      <c r="D995" s="22">
        <f>IFERROR(__xludf.DUMMYFUNCTION("""COMPUTED_VALUE"""),167.54)</f>
        <v>167.54</v>
      </c>
      <c r="E995" s="21">
        <f>IFERROR(__xludf.DUMMYFUNCTION("""COMPUTED_VALUE"""),110.20096542428573)</f>
        <v>110.2009654</v>
      </c>
      <c r="F995" s="21">
        <f>IFERROR(__xludf.DUMMYFUNCTION("""COMPUTED_VALUE"""),110.95285714285714)</f>
        <v>110.9528571</v>
      </c>
      <c r="G995" s="21"/>
    </row>
    <row r="996">
      <c r="A996" s="23">
        <f>IFERROR(__xludf.DUMMYFUNCTION("""COMPUTED_VALUE"""),45556.0)</f>
        <v>45556</v>
      </c>
      <c r="B996" s="21">
        <f>IFERROR(__xludf.DUMMYFUNCTION("""COMPUTED_VALUE"""),121.81)</f>
        <v>121.81</v>
      </c>
      <c r="C996" s="22">
        <f>IFERROR(__xludf.DUMMYFUNCTION("""COMPUTED_VALUE"""),90.417)</f>
        <v>90.417</v>
      </c>
      <c r="D996" s="22">
        <f>IFERROR(__xludf.DUMMYFUNCTION("""COMPUTED_VALUE"""),167.54)</f>
        <v>167.54</v>
      </c>
      <c r="E996" s="21">
        <f>IFERROR(__xludf.DUMMYFUNCTION("""COMPUTED_VALUE"""),111.16597636428571)</f>
        <v>111.1659764</v>
      </c>
      <c r="F996" s="21">
        <f>IFERROR(__xludf.DUMMYFUNCTION("""COMPUTED_VALUE"""),110.78392857142856)</f>
        <v>110.7839286</v>
      </c>
      <c r="G996" s="21"/>
    </row>
    <row r="997">
      <c r="A997" s="23">
        <f>IFERROR(__xludf.DUMMYFUNCTION("""COMPUTED_VALUE"""),45557.0)</f>
        <v>45557</v>
      </c>
      <c r="B997" s="21">
        <f>IFERROR(__xludf.DUMMYFUNCTION("""COMPUTED_VALUE"""),121.81)</f>
        <v>121.81</v>
      </c>
      <c r="C997" s="22">
        <f>IFERROR(__xludf.DUMMYFUNCTION("""COMPUTED_VALUE"""),90.417)</f>
        <v>90.417</v>
      </c>
      <c r="D997" s="22">
        <f>IFERROR(__xludf.DUMMYFUNCTION("""COMPUTED_VALUE"""),167.54)</f>
        <v>167.54</v>
      </c>
      <c r="E997" s="21">
        <f>IFERROR(__xludf.DUMMYFUNCTION("""COMPUTED_VALUE"""),112.98209232857143)</f>
        <v>112.9820923</v>
      </c>
      <c r="F997" s="21">
        <f>IFERROR(__xludf.DUMMYFUNCTION("""COMPUTED_VALUE"""),110.615)</f>
        <v>110.615</v>
      </c>
      <c r="G997" s="21"/>
    </row>
    <row r="998">
      <c r="A998" s="23">
        <f>IFERROR(__xludf.DUMMYFUNCTION("""COMPUTED_VALUE"""),45558.0)</f>
        <v>45558</v>
      </c>
      <c r="B998" s="21">
        <f>IFERROR(__xludf.DUMMYFUNCTION("""COMPUTED_VALUE"""),121.81)</f>
        <v>121.81</v>
      </c>
      <c r="C998" s="22">
        <f>IFERROR(__xludf.DUMMYFUNCTION("""COMPUTED_VALUE"""),90.417)</f>
        <v>90.417</v>
      </c>
      <c r="D998" s="22">
        <f>IFERROR(__xludf.DUMMYFUNCTION("""COMPUTED_VALUE"""),167.54)</f>
        <v>167.54</v>
      </c>
      <c r="E998" s="21">
        <f>IFERROR(__xludf.DUMMYFUNCTION("""COMPUTED_VALUE"""),117.11441750000002)</f>
        <v>117.1144175</v>
      </c>
      <c r="F998" s="21">
        <f>IFERROR(__xludf.DUMMYFUNCTION("""COMPUTED_VALUE"""),110.70342857142857)</f>
        <v>110.7034286</v>
      </c>
      <c r="G998" s="21"/>
    </row>
    <row r="999">
      <c r="A999" s="23">
        <f>IFERROR(__xludf.DUMMYFUNCTION("""COMPUTED_VALUE"""),45559.0)</f>
        <v>45559</v>
      </c>
      <c r="B999" s="21">
        <f>IFERROR(__xludf.DUMMYFUNCTION("""COMPUTED_VALUE"""),121.81)</f>
        <v>121.81</v>
      </c>
      <c r="C999" s="22">
        <f>IFERROR(__xludf.DUMMYFUNCTION("""COMPUTED_VALUE"""),90.417)</f>
        <v>90.417</v>
      </c>
      <c r="D999" s="22">
        <f>IFERROR(__xludf.DUMMYFUNCTION("""COMPUTED_VALUE"""),167.54)</f>
        <v>167.54</v>
      </c>
      <c r="E999" s="21">
        <f>IFERROR(__xludf.DUMMYFUNCTION("""COMPUTED_VALUE"""),116.08889479999998)</f>
        <v>116.0888948</v>
      </c>
      <c r="F999" s="21">
        <f>IFERROR(__xludf.DUMMYFUNCTION("""COMPUTED_VALUE"""),110.79185714285714)</f>
        <v>110.7918571</v>
      </c>
      <c r="G999" s="21"/>
    </row>
    <row r="1000">
      <c r="A1000" s="23">
        <f>IFERROR(__xludf.DUMMYFUNCTION("""COMPUTED_VALUE"""),45560.0)</f>
        <v>45560</v>
      </c>
      <c r="B1000" s="21">
        <f>IFERROR(__xludf.DUMMYFUNCTION("""COMPUTED_VALUE"""),121.81)</f>
        <v>121.81</v>
      </c>
      <c r="C1000" s="22">
        <f>IFERROR(__xludf.DUMMYFUNCTION("""COMPUTED_VALUE"""),90.417)</f>
        <v>90.417</v>
      </c>
      <c r="D1000" s="22">
        <f>IFERROR(__xludf.DUMMYFUNCTION("""COMPUTED_VALUE"""),167.54)</f>
        <v>167.54</v>
      </c>
      <c r="E1000" s="21">
        <f>IFERROR(__xludf.DUMMYFUNCTION("""COMPUTED_VALUE"""),116.34683977142858)</f>
        <v>116.3468398</v>
      </c>
      <c r="F1000" s="21">
        <f>IFERROR(__xludf.DUMMYFUNCTION("""COMPUTED_VALUE"""),110.88028571428572)</f>
        <v>110.8802857</v>
      </c>
      <c r="G1000" s="21"/>
    </row>
    <row r="1001">
      <c r="A1001" s="23">
        <f>IFERROR(__xludf.DUMMYFUNCTION("""COMPUTED_VALUE"""),45561.0)</f>
        <v>45561</v>
      </c>
      <c r="B1001" s="21">
        <f>IFERROR(__xludf.DUMMYFUNCTION("""COMPUTED_VALUE"""),121.81)</f>
        <v>121.81</v>
      </c>
      <c r="C1001" s="22">
        <f>IFERROR(__xludf.DUMMYFUNCTION("""COMPUTED_VALUE"""),90.417)</f>
        <v>90.417</v>
      </c>
      <c r="D1001" s="22">
        <f>IFERROR(__xludf.DUMMYFUNCTION("""COMPUTED_VALUE"""),167.54)</f>
        <v>167.54</v>
      </c>
      <c r="E1001" s="21">
        <f>IFERROR(__xludf.DUMMYFUNCTION("""COMPUTED_VALUE"""),116.31876734285716)</f>
        <v>116.3187673</v>
      </c>
      <c r="F1001" s="21">
        <f>IFERROR(__xludf.DUMMYFUNCTION("""COMPUTED_VALUE"""),110.9687142857143)</f>
        <v>110.9687143</v>
      </c>
      <c r="G1001" s="21"/>
    </row>
    <row r="1002">
      <c r="A1002" s="23">
        <f>IFERROR(__xludf.DUMMYFUNCTION("""COMPUTED_VALUE"""),45562.0)</f>
        <v>45562</v>
      </c>
      <c r="B1002" s="21">
        <f>IFERROR(__xludf.DUMMYFUNCTION("""COMPUTED_VALUE"""),121.81)</f>
        <v>121.81</v>
      </c>
      <c r="C1002" s="22">
        <f>IFERROR(__xludf.DUMMYFUNCTION("""COMPUTED_VALUE"""),90.417)</f>
        <v>90.417</v>
      </c>
      <c r="D1002" s="22">
        <f>IFERROR(__xludf.DUMMYFUNCTION("""COMPUTED_VALUE"""),167.54)</f>
        <v>167.54</v>
      </c>
      <c r="E1002" s="21">
        <f>IFERROR(__xludf.DUMMYFUNCTION("""COMPUTED_VALUE"""),114.80422717142858)</f>
        <v>114.8042272</v>
      </c>
      <c r="F1002" s="21">
        <f>IFERROR(__xludf.DUMMYFUNCTION("""COMPUTED_VALUE"""),111.05714285714286)</f>
        <v>111.0571429</v>
      </c>
      <c r="G1002" s="21"/>
    </row>
    <row r="1003">
      <c r="A1003" s="23">
        <f>IFERROR(__xludf.DUMMYFUNCTION("""COMPUTED_VALUE"""),45563.0)</f>
        <v>45563</v>
      </c>
      <c r="B1003" s="21">
        <f>IFERROR(__xludf.DUMMYFUNCTION("""COMPUTED_VALUE"""),121.81)</f>
        <v>121.81</v>
      </c>
      <c r="C1003" s="22">
        <f>IFERROR(__xludf.DUMMYFUNCTION("""COMPUTED_VALUE"""),90.417)</f>
        <v>90.417</v>
      </c>
      <c r="D1003" s="22">
        <f>IFERROR(__xludf.DUMMYFUNCTION("""COMPUTED_VALUE"""),167.54)</f>
        <v>167.54</v>
      </c>
      <c r="E1003" s="21">
        <f>IFERROR(__xludf.DUMMYFUNCTION("""COMPUTED_VALUE"""),114.38490025714285)</f>
        <v>114.3849003</v>
      </c>
      <c r="F1003" s="21">
        <f>IFERROR(__xludf.DUMMYFUNCTION("""COMPUTED_VALUE"""),111.14557142857143)</f>
        <v>111.1455714</v>
      </c>
      <c r="G1003" s="21"/>
    </row>
    <row r="1004">
      <c r="A1004" s="23">
        <f>IFERROR(__xludf.DUMMYFUNCTION("""COMPUTED_VALUE"""),45564.0)</f>
        <v>45564</v>
      </c>
      <c r="B1004" s="21">
        <f>IFERROR(__xludf.DUMMYFUNCTION("""COMPUTED_VALUE"""),121.81)</f>
        <v>121.81</v>
      </c>
      <c r="C1004" s="22">
        <f>IFERROR(__xludf.DUMMYFUNCTION("""COMPUTED_VALUE"""),90.417)</f>
        <v>90.417</v>
      </c>
      <c r="D1004" s="22">
        <f>IFERROR(__xludf.DUMMYFUNCTION("""COMPUTED_VALUE"""),167.54)</f>
        <v>167.54</v>
      </c>
      <c r="E1004" s="21">
        <f>IFERROR(__xludf.DUMMYFUNCTION("""COMPUTED_VALUE"""),111.25324166142856)</f>
        <v>111.2532417</v>
      </c>
      <c r="F1004" s="21">
        <f>IFERROR(__xludf.DUMMYFUNCTION("""COMPUTED_VALUE"""),111.23400000000001)</f>
        <v>111.234</v>
      </c>
      <c r="G1004" s="21"/>
    </row>
    <row r="1005">
      <c r="A1005" s="23">
        <f>IFERROR(__xludf.DUMMYFUNCTION("""COMPUTED_VALUE"""),45565.0)</f>
        <v>45565</v>
      </c>
      <c r="B1005" s="21">
        <f>IFERROR(__xludf.DUMMYFUNCTION("""COMPUTED_VALUE"""),121.81)</f>
        <v>121.81</v>
      </c>
      <c r="C1005" s="22">
        <f>IFERROR(__xludf.DUMMYFUNCTION("""COMPUTED_VALUE"""),90.417)</f>
        <v>90.417</v>
      </c>
      <c r="D1005" s="22">
        <f>IFERROR(__xludf.DUMMYFUNCTION("""COMPUTED_VALUE"""),167.54)</f>
        <v>167.54</v>
      </c>
      <c r="E1005" s="21">
        <f>IFERROR(__xludf.DUMMYFUNCTION("""COMPUTED_VALUE"""),106.30726377571429)</f>
        <v>106.3072638</v>
      </c>
      <c r="F1005" s="21">
        <f>IFERROR(__xludf.DUMMYFUNCTION("""COMPUTED_VALUE"""),111.58771428571428)</f>
        <v>111.5877143</v>
      </c>
      <c r="G1005" s="21"/>
    </row>
    <row r="1006">
      <c r="A1006" s="20">
        <f>IFERROR(__xludf.DUMMYFUNCTION("""COMPUTED_VALUE"""),45566.0)</f>
        <v>45566</v>
      </c>
      <c r="B1006" s="21">
        <f>IFERROR(__xludf.DUMMYFUNCTION("""COMPUTED_VALUE"""),121.81)</f>
        <v>121.81</v>
      </c>
      <c r="C1006" s="22">
        <f>IFERROR(__xludf.DUMMYFUNCTION("""COMPUTED_VALUE"""),90.417)</f>
        <v>90.417</v>
      </c>
      <c r="D1006" s="22">
        <f>IFERROR(__xludf.DUMMYFUNCTION("""COMPUTED_VALUE"""),167.54)</f>
        <v>167.54</v>
      </c>
      <c r="E1006" s="21">
        <f>IFERROR(__xludf.DUMMYFUNCTION("""COMPUTED_VALUE"""),108.92448140428571)</f>
        <v>108.9244814</v>
      </c>
      <c r="F1006" s="21">
        <f>IFERROR(__xludf.DUMMYFUNCTION("""COMPUTED_VALUE"""),111.94142857142857)</f>
        <v>111.9414286</v>
      </c>
      <c r="G1006" s="21"/>
    </row>
    <row r="1007">
      <c r="A1007" s="20">
        <f>IFERROR(__xludf.DUMMYFUNCTION("""COMPUTED_VALUE"""),45567.0)</f>
        <v>45567</v>
      </c>
      <c r="B1007" s="21">
        <f>IFERROR(__xludf.DUMMYFUNCTION("""COMPUTED_VALUE"""),121.81)</f>
        <v>121.81</v>
      </c>
      <c r="C1007" s="22">
        <f>IFERROR(__xludf.DUMMYFUNCTION("""COMPUTED_VALUE"""),90.417)</f>
        <v>90.417</v>
      </c>
      <c r="D1007" s="22">
        <f>IFERROR(__xludf.DUMMYFUNCTION("""COMPUTED_VALUE"""),167.54)</f>
        <v>167.54</v>
      </c>
      <c r="E1007" s="21">
        <f>IFERROR(__xludf.DUMMYFUNCTION("""COMPUTED_VALUE"""),110.97940284714286)</f>
        <v>110.9794028</v>
      </c>
      <c r="F1007" s="21">
        <f>IFERROR(__xludf.DUMMYFUNCTION("""COMPUTED_VALUE"""),112.29514285714286)</f>
        <v>112.2951429</v>
      </c>
      <c r="G1007" s="21"/>
    </row>
    <row r="1008">
      <c r="A1008" s="20">
        <f>IFERROR(__xludf.DUMMYFUNCTION("""COMPUTED_VALUE"""),45568.0)</f>
        <v>45568</v>
      </c>
      <c r="B1008" s="21">
        <f>IFERROR(__xludf.DUMMYFUNCTION("""COMPUTED_VALUE"""),121.81)</f>
        <v>121.81</v>
      </c>
      <c r="C1008" s="22">
        <f>IFERROR(__xludf.DUMMYFUNCTION("""COMPUTED_VALUE"""),90.417)</f>
        <v>90.417</v>
      </c>
      <c r="D1008" s="22">
        <f>IFERROR(__xludf.DUMMYFUNCTION("""COMPUTED_VALUE"""),167.54)</f>
        <v>167.54</v>
      </c>
      <c r="E1008" s="21">
        <f>IFERROR(__xludf.DUMMYFUNCTION("""COMPUTED_VALUE"""),111.91620064714286)</f>
        <v>111.9162006</v>
      </c>
      <c r="F1008" s="21">
        <f>IFERROR(__xludf.DUMMYFUNCTION("""COMPUTED_VALUE"""),112.64885714285715)</f>
        <v>112.6488571</v>
      </c>
      <c r="G1008" s="21"/>
    </row>
    <row r="1009">
      <c r="A1009" s="20">
        <f>IFERROR(__xludf.DUMMYFUNCTION("""COMPUTED_VALUE"""),45569.0)</f>
        <v>45569</v>
      </c>
      <c r="B1009" s="21">
        <f>IFERROR(__xludf.DUMMYFUNCTION("""COMPUTED_VALUE"""),121.81)</f>
        <v>121.81</v>
      </c>
      <c r="C1009" s="22">
        <f>IFERROR(__xludf.DUMMYFUNCTION("""COMPUTED_VALUE"""),90.417)</f>
        <v>90.417</v>
      </c>
      <c r="D1009" s="22">
        <f>IFERROR(__xludf.DUMMYFUNCTION("""COMPUTED_VALUE"""),167.54)</f>
        <v>167.54</v>
      </c>
      <c r="E1009" s="21">
        <f>IFERROR(__xludf.DUMMYFUNCTION("""COMPUTED_VALUE"""),113.3457440042857)</f>
        <v>113.345744</v>
      </c>
      <c r="F1009" s="21">
        <f>IFERROR(__xludf.DUMMYFUNCTION("""COMPUTED_VALUE"""),113.00257142857143)</f>
        <v>113.0025714</v>
      </c>
      <c r="G1009" s="21"/>
    </row>
    <row r="1010">
      <c r="A1010" s="20">
        <f>IFERROR(__xludf.DUMMYFUNCTION("""COMPUTED_VALUE"""),45570.0)</f>
        <v>45570</v>
      </c>
      <c r="B1010" s="21">
        <f>IFERROR(__xludf.DUMMYFUNCTION("""COMPUTED_VALUE"""),121.81)</f>
        <v>121.81</v>
      </c>
      <c r="C1010" s="22">
        <f>IFERROR(__xludf.DUMMYFUNCTION("""COMPUTED_VALUE"""),90.417)</f>
        <v>90.417</v>
      </c>
      <c r="D1010" s="22">
        <f>IFERROR(__xludf.DUMMYFUNCTION("""COMPUTED_VALUE"""),167.54)</f>
        <v>167.54</v>
      </c>
      <c r="E1010" s="21">
        <f>IFERROR(__xludf.DUMMYFUNCTION("""COMPUTED_VALUE"""),114.97943063285713)</f>
        <v>114.9794306</v>
      </c>
      <c r="F1010" s="21">
        <f>IFERROR(__xludf.DUMMYFUNCTION("""COMPUTED_VALUE"""),113.35628571428572)</f>
        <v>113.3562857</v>
      </c>
      <c r="G1010" s="21"/>
    </row>
    <row r="1011">
      <c r="A1011" s="20">
        <f>IFERROR(__xludf.DUMMYFUNCTION("""COMPUTED_VALUE"""),45571.0)</f>
        <v>45571</v>
      </c>
      <c r="B1011" s="21">
        <f>IFERROR(__xludf.DUMMYFUNCTION("""COMPUTED_VALUE"""),121.81)</f>
        <v>121.81</v>
      </c>
      <c r="C1011" s="22">
        <f>IFERROR(__xludf.DUMMYFUNCTION("""COMPUTED_VALUE"""),90.417)</f>
        <v>90.417</v>
      </c>
      <c r="D1011" s="22">
        <f>IFERROR(__xludf.DUMMYFUNCTION("""COMPUTED_VALUE"""),167.54)</f>
        <v>167.54</v>
      </c>
      <c r="E1011" s="21">
        <f>IFERROR(__xludf.DUMMYFUNCTION("""COMPUTED_VALUE"""),120.15225751428571)</f>
        <v>120.1522575</v>
      </c>
      <c r="F1011" s="21">
        <f>IFERROR(__xludf.DUMMYFUNCTION("""COMPUTED_VALUE"""),113.71000000000001)</f>
        <v>113.71</v>
      </c>
      <c r="G1011" s="21"/>
    </row>
    <row r="1012">
      <c r="A1012" s="20">
        <f>IFERROR(__xludf.DUMMYFUNCTION("""COMPUTED_VALUE"""),45572.0)</f>
        <v>45572</v>
      </c>
      <c r="B1012" s="21">
        <f>IFERROR(__xludf.DUMMYFUNCTION("""COMPUTED_VALUE"""),121.81)</f>
        <v>121.81</v>
      </c>
      <c r="C1012" s="22">
        <f>IFERROR(__xludf.DUMMYFUNCTION("""COMPUTED_VALUE"""),90.417)</f>
        <v>90.417</v>
      </c>
      <c r="D1012" s="22">
        <f>IFERROR(__xludf.DUMMYFUNCTION("""COMPUTED_VALUE"""),167.54)</f>
        <v>167.54</v>
      </c>
      <c r="E1012" s="21">
        <f>IFERROR(__xludf.DUMMYFUNCTION("""COMPUTED_VALUE"""),122.38057608571428)</f>
        <v>122.3805761</v>
      </c>
      <c r="F1012" s="21">
        <f>IFERROR(__xludf.DUMMYFUNCTION("""COMPUTED_VALUE"""),113.71000000000001)</f>
        <v>113.71</v>
      </c>
      <c r="G1012" s="21"/>
    </row>
    <row r="1013">
      <c r="A1013" s="20">
        <f>IFERROR(__xludf.DUMMYFUNCTION("""COMPUTED_VALUE"""),45573.0)</f>
        <v>45573</v>
      </c>
      <c r="B1013" s="21">
        <f>IFERROR(__xludf.DUMMYFUNCTION("""COMPUTED_VALUE"""),121.81)</f>
        <v>121.81</v>
      </c>
      <c r="C1013" s="22">
        <f>IFERROR(__xludf.DUMMYFUNCTION("""COMPUTED_VALUE"""),90.417)</f>
        <v>90.417</v>
      </c>
      <c r="D1013" s="22">
        <f>IFERROR(__xludf.DUMMYFUNCTION("""COMPUTED_VALUE"""),167.54)</f>
        <v>167.54</v>
      </c>
      <c r="E1013" s="21">
        <f>IFERROR(__xludf.DUMMYFUNCTION("""COMPUTED_VALUE"""),120.7302984857143)</f>
        <v>120.7302985</v>
      </c>
      <c r="F1013" s="21">
        <f>IFERROR(__xludf.DUMMYFUNCTION("""COMPUTED_VALUE"""),113.71000000000001)</f>
        <v>113.71</v>
      </c>
      <c r="G1013" s="21"/>
    </row>
    <row r="1014">
      <c r="A1014" s="20">
        <f>IFERROR(__xludf.DUMMYFUNCTION("""COMPUTED_VALUE"""),45574.0)</f>
        <v>45574</v>
      </c>
      <c r="B1014" s="21">
        <f>IFERROR(__xludf.DUMMYFUNCTION("""COMPUTED_VALUE"""),121.81)</f>
        <v>121.81</v>
      </c>
      <c r="C1014" s="22">
        <f>IFERROR(__xludf.DUMMYFUNCTION("""COMPUTED_VALUE"""),90.417)</f>
        <v>90.417</v>
      </c>
      <c r="D1014" s="22">
        <f>IFERROR(__xludf.DUMMYFUNCTION("""COMPUTED_VALUE"""),167.54)</f>
        <v>167.54</v>
      </c>
      <c r="E1014" s="21">
        <f>IFERROR(__xludf.DUMMYFUNCTION("""COMPUTED_VALUE"""),118.54615921428571)</f>
        <v>118.5461592</v>
      </c>
      <c r="F1014" s="21">
        <f>IFERROR(__xludf.DUMMYFUNCTION("""COMPUTED_VALUE"""),113.71000000000001)</f>
        <v>113.71</v>
      </c>
      <c r="G1014" s="21"/>
    </row>
    <row r="1015">
      <c r="A1015" s="24">
        <f>IFERROR(__xludf.DUMMYFUNCTION("""COMPUTED_VALUE"""),45575.0)</f>
        <v>45575</v>
      </c>
      <c r="B1015" s="21">
        <f>IFERROR(__xludf.DUMMYFUNCTION("""COMPUTED_VALUE"""),121.81)</f>
        <v>121.81</v>
      </c>
      <c r="C1015" s="22">
        <f>IFERROR(__xludf.DUMMYFUNCTION("""COMPUTED_VALUE"""),90.417)</f>
        <v>90.417</v>
      </c>
      <c r="D1015" s="22">
        <f>IFERROR(__xludf.DUMMYFUNCTION("""COMPUTED_VALUE"""),167.54)</f>
        <v>167.54</v>
      </c>
      <c r="E1015" s="21">
        <f>IFERROR(__xludf.DUMMYFUNCTION("""COMPUTED_VALUE"""),117.08013414285713)</f>
        <v>117.0801341</v>
      </c>
      <c r="F1015" s="21">
        <f>IFERROR(__xludf.DUMMYFUNCTION("""COMPUTED_VALUE"""),113.71000000000001)</f>
        <v>113.71</v>
      </c>
      <c r="G1015" s="21"/>
    </row>
    <row r="1016">
      <c r="A1016" s="24">
        <f>IFERROR(__xludf.DUMMYFUNCTION("""COMPUTED_VALUE"""),45576.0)</f>
        <v>45576</v>
      </c>
      <c r="B1016" s="21">
        <f>IFERROR(__xludf.DUMMYFUNCTION("""COMPUTED_VALUE"""),121.81)</f>
        <v>121.81</v>
      </c>
      <c r="C1016" s="22">
        <f>IFERROR(__xludf.DUMMYFUNCTION("""COMPUTED_VALUE"""),90.417)</f>
        <v>90.417</v>
      </c>
      <c r="D1016" s="22">
        <f>IFERROR(__xludf.DUMMYFUNCTION("""COMPUTED_VALUE"""),167.54)</f>
        <v>167.54</v>
      </c>
      <c r="E1016" s="21">
        <f>IFERROR(__xludf.DUMMYFUNCTION("""COMPUTED_VALUE"""),115.11849722857143)</f>
        <v>115.1184972</v>
      </c>
      <c r="F1016" s="21">
        <f>IFERROR(__xludf.DUMMYFUNCTION("""COMPUTED_VALUE"""),113.71000000000001)</f>
        <v>113.71</v>
      </c>
      <c r="G1016" s="21"/>
    </row>
    <row r="1017">
      <c r="A1017" s="24">
        <f>IFERROR(__xludf.DUMMYFUNCTION("""COMPUTED_VALUE"""),45577.0)</f>
        <v>45577</v>
      </c>
      <c r="B1017" s="21">
        <f>IFERROR(__xludf.DUMMYFUNCTION("""COMPUTED_VALUE"""),121.81)</f>
        <v>121.81</v>
      </c>
      <c r="C1017" s="22">
        <f>IFERROR(__xludf.DUMMYFUNCTION("""COMPUTED_VALUE"""),90.417)</f>
        <v>90.417</v>
      </c>
      <c r="D1017" s="22">
        <f>IFERROR(__xludf.DUMMYFUNCTION("""COMPUTED_VALUE"""),167.54)</f>
        <v>167.54</v>
      </c>
      <c r="E1017" s="21">
        <f>IFERROR(__xludf.DUMMYFUNCTION("""COMPUTED_VALUE"""),112.61329856142858)</f>
        <v>112.6132986</v>
      </c>
      <c r="F1017" s="21">
        <f>IFERROR(__xludf.DUMMYFUNCTION("""COMPUTED_VALUE"""),113.71000000000001)</f>
        <v>113.71</v>
      </c>
      <c r="G1017" s="21"/>
    </row>
    <row r="1018">
      <c r="A1018" s="23">
        <f>IFERROR(__xludf.DUMMYFUNCTION("""COMPUTED_VALUE"""),45578.0)</f>
        <v>45578</v>
      </c>
      <c r="B1018" s="21">
        <f>IFERROR(__xludf.DUMMYFUNCTION("""COMPUTED_VALUE"""),121.81)</f>
        <v>121.81</v>
      </c>
      <c r="C1018" s="22">
        <f>IFERROR(__xludf.DUMMYFUNCTION("""COMPUTED_VALUE"""),90.417)</f>
        <v>90.417</v>
      </c>
      <c r="D1018" s="22">
        <f>IFERROR(__xludf.DUMMYFUNCTION("""COMPUTED_VALUE"""),167.54)</f>
        <v>167.54</v>
      </c>
      <c r="E1018" s="21">
        <f>IFERROR(__xludf.DUMMYFUNCTION("""COMPUTED_VALUE"""),109.02003906999998)</f>
        <v>109.0200391</v>
      </c>
      <c r="F1018" s="21">
        <f>IFERROR(__xludf.DUMMYFUNCTION("""COMPUTED_VALUE"""),113.71000000000001)</f>
        <v>113.71</v>
      </c>
      <c r="G1018" s="21"/>
    </row>
    <row r="1019">
      <c r="A1019" s="23">
        <f>IFERROR(__xludf.DUMMYFUNCTION("""COMPUTED_VALUE"""),45579.0)</f>
        <v>45579</v>
      </c>
      <c r="B1019" s="21">
        <f>IFERROR(__xludf.DUMMYFUNCTION("""COMPUTED_VALUE"""),118.44)</f>
        <v>118.44</v>
      </c>
      <c r="C1019" s="22">
        <f>IFERROR(__xludf.DUMMYFUNCTION("""COMPUTED_VALUE"""),94.72)</f>
        <v>94.72</v>
      </c>
      <c r="D1019" s="22">
        <f>IFERROR(__xludf.DUMMYFUNCTION("""COMPUTED_VALUE"""),149.5)</f>
        <v>149.5</v>
      </c>
      <c r="E1019" s="21">
        <f>IFERROR(__xludf.DUMMYFUNCTION("""COMPUTED_VALUE"""),108.17351644142856)</f>
        <v>108.1735164</v>
      </c>
      <c r="F1019" s="21">
        <f>IFERROR(__xludf.DUMMYFUNCTION("""COMPUTED_VALUE"""),113.71000000000001)</f>
        <v>113.71</v>
      </c>
      <c r="G1019" s="21"/>
    </row>
    <row r="1020">
      <c r="A1020" s="23">
        <f>IFERROR(__xludf.DUMMYFUNCTION("""COMPUTED_VALUE"""),45580.0)</f>
        <v>45580</v>
      </c>
      <c r="B1020" s="21">
        <f>IFERROR(__xludf.DUMMYFUNCTION("""COMPUTED_VALUE"""),118.44)</f>
        <v>118.44</v>
      </c>
      <c r="C1020" s="22">
        <f>IFERROR(__xludf.DUMMYFUNCTION("""COMPUTED_VALUE"""),94.72)</f>
        <v>94.72</v>
      </c>
      <c r="D1020" s="22">
        <f>IFERROR(__xludf.DUMMYFUNCTION("""COMPUTED_VALUE"""),149.5)</f>
        <v>149.5</v>
      </c>
      <c r="E1020" s="21">
        <f>IFERROR(__xludf.DUMMYFUNCTION("""COMPUTED_VALUE"""),107.52688974142856)</f>
        <v>107.5268897</v>
      </c>
      <c r="F1020" s="21">
        <f>IFERROR(__xludf.DUMMYFUNCTION("""COMPUTED_VALUE"""),113.71000000000001)</f>
        <v>113.71</v>
      </c>
      <c r="G1020" s="21"/>
    </row>
    <row r="1021">
      <c r="A1021" s="23">
        <f>IFERROR(__xludf.DUMMYFUNCTION("""COMPUTED_VALUE"""),45581.0)</f>
        <v>45581</v>
      </c>
      <c r="B1021" s="21">
        <f>IFERROR(__xludf.DUMMYFUNCTION("""COMPUTED_VALUE"""),118.44)</f>
        <v>118.44</v>
      </c>
      <c r="C1021" s="22">
        <f>IFERROR(__xludf.DUMMYFUNCTION("""COMPUTED_VALUE"""),94.72)</f>
        <v>94.72</v>
      </c>
      <c r="D1021" s="22">
        <f>IFERROR(__xludf.DUMMYFUNCTION("""COMPUTED_VALUE"""),149.5)</f>
        <v>149.5</v>
      </c>
      <c r="E1021" s="21">
        <f>IFERROR(__xludf.DUMMYFUNCTION("""COMPUTED_VALUE"""),109.1605382842857)</f>
        <v>109.1605383</v>
      </c>
      <c r="F1021" s="21">
        <f>IFERROR(__xludf.DUMMYFUNCTION("""COMPUTED_VALUE"""),113.71000000000001)</f>
        <v>113.71</v>
      </c>
      <c r="G1021" s="21"/>
    </row>
    <row r="1022">
      <c r="A1022" s="23">
        <f>IFERROR(__xludf.DUMMYFUNCTION("""COMPUTED_VALUE"""),45582.0)</f>
        <v>45582</v>
      </c>
      <c r="B1022" s="21">
        <f>IFERROR(__xludf.DUMMYFUNCTION("""COMPUTED_VALUE"""),118.44)</f>
        <v>118.44</v>
      </c>
      <c r="C1022" s="22">
        <f>IFERROR(__xludf.DUMMYFUNCTION("""COMPUTED_VALUE"""),94.72)</f>
        <v>94.72</v>
      </c>
      <c r="D1022" s="22">
        <f>IFERROR(__xludf.DUMMYFUNCTION("""COMPUTED_VALUE"""),149.5)</f>
        <v>149.5</v>
      </c>
      <c r="E1022" s="21">
        <f>IFERROR(__xludf.DUMMYFUNCTION("""COMPUTED_VALUE"""),111.12441224142856)</f>
        <v>111.1244122</v>
      </c>
      <c r="F1022" s="21">
        <f>IFERROR(__xludf.DUMMYFUNCTION("""COMPUTED_VALUE"""),113.71000000000001)</f>
        <v>113.71</v>
      </c>
      <c r="G1022" s="21"/>
    </row>
    <row r="1023">
      <c r="A1023" s="23">
        <f>IFERROR(__xludf.DUMMYFUNCTION("""COMPUTED_VALUE"""),45583.0)</f>
        <v>45583</v>
      </c>
      <c r="B1023" s="21">
        <f>IFERROR(__xludf.DUMMYFUNCTION("""COMPUTED_VALUE"""),118.44)</f>
        <v>118.44</v>
      </c>
      <c r="C1023" s="22">
        <f>IFERROR(__xludf.DUMMYFUNCTION("""COMPUTED_VALUE"""),94.72)</f>
        <v>94.72</v>
      </c>
      <c r="D1023" s="22">
        <f>IFERROR(__xludf.DUMMYFUNCTION("""COMPUTED_VALUE"""),149.5)</f>
        <v>149.5</v>
      </c>
      <c r="E1023" s="21">
        <f>IFERROR(__xludf.DUMMYFUNCTION("""COMPUTED_VALUE"""),112.77356914142857)</f>
        <v>112.7735691</v>
      </c>
      <c r="F1023" s="21">
        <f>IFERROR(__xludf.DUMMYFUNCTION("""COMPUTED_VALUE"""),113.71000000000001)</f>
        <v>113.71</v>
      </c>
      <c r="G1023" s="21"/>
    </row>
    <row r="1024">
      <c r="A1024" s="23">
        <f>IFERROR(__xludf.DUMMYFUNCTION("""COMPUTED_VALUE"""),45584.0)</f>
        <v>45584</v>
      </c>
      <c r="B1024" s="21">
        <f>IFERROR(__xludf.DUMMYFUNCTION("""COMPUTED_VALUE"""),118.44)</f>
        <v>118.44</v>
      </c>
      <c r="C1024" s="22">
        <f>IFERROR(__xludf.DUMMYFUNCTION("""COMPUTED_VALUE"""),94.72)</f>
        <v>94.72</v>
      </c>
      <c r="D1024" s="22">
        <f>IFERROR(__xludf.DUMMYFUNCTION("""COMPUTED_VALUE"""),149.5)</f>
        <v>149.5</v>
      </c>
      <c r="E1024" s="21">
        <f>IFERROR(__xludf.DUMMYFUNCTION("""COMPUTED_VALUE"""),114.72424338)</f>
        <v>114.7242434</v>
      </c>
      <c r="F1024" s="21">
        <f>IFERROR(__xludf.DUMMYFUNCTION("""COMPUTED_VALUE"""),113.71000000000001)</f>
        <v>113.71</v>
      </c>
      <c r="G1024" s="21"/>
    </row>
    <row r="1025">
      <c r="A1025" s="23">
        <f>IFERROR(__xludf.DUMMYFUNCTION("""COMPUTED_VALUE"""),45585.0)</f>
        <v>45585</v>
      </c>
      <c r="B1025" s="21">
        <f>IFERROR(__xludf.DUMMYFUNCTION("""COMPUTED_VALUE"""),118.44)</f>
        <v>118.44</v>
      </c>
      <c r="C1025" s="22">
        <f>IFERROR(__xludf.DUMMYFUNCTION("""COMPUTED_VALUE"""),94.72)</f>
        <v>94.72</v>
      </c>
      <c r="D1025" s="22">
        <f>IFERROR(__xludf.DUMMYFUNCTION("""COMPUTED_VALUE"""),149.5)</f>
        <v>149.5</v>
      </c>
      <c r="E1025" s="21">
        <f>IFERROR(__xludf.DUMMYFUNCTION("""COMPUTED_VALUE"""),118.34235324285716)</f>
        <v>118.3423532</v>
      </c>
      <c r="F1025" s="21">
        <f>IFERROR(__xludf.DUMMYFUNCTION("""COMPUTED_VALUE"""),113.71000000000001)</f>
        <v>113.71</v>
      </c>
      <c r="G1025" s="21"/>
    </row>
    <row r="1026">
      <c r="A1026" s="23">
        <f>IFERROR(__xludf.DUMMYFUNCTION("""COMPUTED_VALUE"""),45586.0)</f>
        <v>45586</v>
      </c>
      <c r="B1026" s="21">
        <f>IFERROR(__xludf.DUMMYFUNCTION("""COMPUTED_VALUE"""),118.44)</f>
        <v>118.44</v>
      </c>
      <c r="C1026" s="22">
        <f>IFERROR(__xludf.DUMMYFUNCTION("""COMPUTED_VALUE"""),94.72)</f>
        <v>94.72</v>
      </c>
      <c r="D1026" s="22">
        <f>IFERROR(__xludf.DUMMYFUNCTION("""COMPUTED_VALUE"""),149.5)</f>
        <v>149.5</v>
      </c>
      <c r="E1026" s="21">
        <f>IFERROR(__xludf.DUMMYFUNCTION("""COMPUTED_VALUE"""),119.90126145714287)</f>
        <v>119.9012615</v>
      </c>
      <c r="F1026" s="21">
        <f>IFERROR(__xludf.DUMMYFUNCTION("""COMPUTED_VALUE"""),113.71000000000001)</f>
        <v>113.71</v>
      </c>
      <c r="G1026" s="21"/>
    </row>
    <row r="1027">
      <c r="A1027" s="23">
        <f>IFERROR(__xludf.DUMMYFUNCTION("""COMPUTED_VALUE"""),45587.0)</f>
        <v>45587</v>
      </c>
      <c r="B1027" s="21">
        <f>IFERROR(__xludf.DUMMYFUNCTION("""COMPUTED_VALUE"""),118.44)</f>
        <v>118.44</v>
      </c>
      <c r="C1027" s="22">
        <f>IFERROR(__xludf.DUMMYFUNCTION("""COMPUTED_VALUE"""),94.72)</f>
        <v>94.72</v>
      </c>
      <c r="D1027" s="22">
        <f>IFERROR(__xludf.DUMMYFUNCTION("""COMPUTED_VALUE"""),149.5)</f>
        <v>149.5</v>
      </c>
      <c r="E1027" s="21">
        <f>IFERROR(__xludf.DUMMYFUNCTION("""COMPUTED_VALUE"""),122.1624478142857)</f>
        <v>122.1624478</v>
      </c>
      <c r="F1027" s="21">
        <f>IFERROR(__xludf.DUMMYFUNCTION("""COMPUTED_VALUE"""),113.71000000000001)</f>
        <v>113.71</v>
      </c>
      <c r="G1027" s="21"/>
    </row>
    <row r="1028">
      <c r="A1028" s="23">
        <f>IFERROR(__xludf.DUMMYFUNCTION("""COMPUTED_VALUE"""),45588.0)</f>
        <v>45588</v>
      </c>
      <c r="B1028" s="21">
        <f>IFERROR(__xludf.DUMMYFUNCTION("""COMPUTED_VALUE"""),118.44)</f>
        <v>118.44</v>
      </c>
      <c r="C1028" s="22">
        <f>IFERROR(__xludf.DUMMYFUNCTION("""COMPUTED_VALUE"""),94.72)</f>
        <v>94.72</v>
      </c>
      <c r="D1028" s="22">
        <f>IFERROR(__xludf.DUMMYFUNCTION("""COMPUTED_VALUE"""),149.5)</f>
        <v>149.5</v>
      </c>
      <c r="E1028" s="21">
        <f>IFERROR(__xludf.DUMMYFUNCTION("""COMPUTED_VALUE"""),122.2014504)</f>
        <v>122.2014504</v>
      </c>
      <c r="F1028" s="21">
        <f>IFERROR(__xludf.DUMMYFUNCTION("""COMPUTED_VALUE"""),113.71000000000001)</f>
        <v>113.71</v>
      </c>
      <c r="G1028" s="21"/>
    </row>
    <row r="1029">
      <c r="A1029" s="23">
        <f>IFERROR(__xludf.DUMMYFUNCTION("""COMPUTED_VALUE"""),45589.0)</f>
        <v>45589</v>
      </c>
      <c r="B1029" s="21">
        <f>IFERROR(__xludf.DUMMYFUNCTION("""COMPUTED_VALUE"""),118.44)</f>
        <v>118.44</v>
      </c>
      <c r="C1029" s="22">
        <f>IFERROR(__xludf.DUMMYFUNCTION("""COMPUTED_VALUE"""),94.72)</f>
        <v>94.72</v>
      </c>
      <c r="D1029" s="22">
        <f>IFERROR(__xludf.DUMMYFUNCTION("""COMPUTED_VALUE"""),149.5)</f>
        <v>149.5</v>
      </c>
      <c r="E1029" s="21">
        <f>IFERROR(__xludf.DUMMYFUNCTION("""COMPUTED_VALUE"""),122.39773249999999)</f>
        <v>122.3977325</v>
      </c>
      <c r="F1029" s="21">
        <f>IFERROR(__xludf.DUMMYFUNCTION("""COMPUTED_VALUE"""),113.71000000000001)</f>
        <v>113.71</v>
      </c>
      <c r="G1029" s="21"/>
    </row>
    <row r="1030">
      <c r="A1030" s="23">
        <f>IFERROR(__xludf.DUMMYFUNCTION("""COMPUTED_VALUE"""),45590.0)</f>
        <v>45590</v>
      </c>
      <c r="B1030" s="21">
        <f>IFERROR(__xludf.DUMMYFUNCTION("""COMPUTED_VALUE"""),118.44)</f>
        <v>118.44</v>
      </c>
      <c r="C1030" s="22">
        <f>IFERROR(__xludf.DUMMYFUNCTION("""COMPUTED_VALUE"""),94.72)</f>
        <v>94.72</v>
      </c>
      <c r="D1030" s="22">
        <f>IFERROR(__xludf.DUMMYFUNCTION("""COMPUTED_VALUE"""),149.5)</f>
        <v>149.5</v>
      </c>
      <c r="E1030" s="21">
        <f>IFERROR(__xludf.DUMMYFUNCTION("""COMPUTED_VALUE"""),123.32260749999999)</f>
        <v>123.3226075</v>
      </c>
      <c r="F1030" s="21">
        <f>IFERROR(__xludf.DUMMYFUNCTION("""COMPUTED_VALUE"""),113.71000000000001)</f>
        <v>113.71</v>
      </c>
      <c r="G1030" s="21"/>
    </row>
    <row r="1031">
      <c r="A1031" s="23">
        <f>IFERROR(__xludf.DUMMYFUNCTION("""COMPUTED_VALUE"""),45591.0)</f>
        <v>45591</v>
      </c>
      <c r="B1031" s="21">
        <f>IFERROR(__xludf.DUMMYFUNCTION("""COMPUTED_VALUE"""),118.44)</f>
        <v>118.44</v>
      </c>
      <c r="C1031" s="22">
        <f>IFERROR(__xludf.DUMMYFUNCTION("""COMPUTED_VALUE"""),94.72)</f>
        <v>94.72</v>
      </c>
      <c r="D1031" s="22">
        <f>IFERROR(__xludf.DUMMYFUNCTION("""COMPUTED_VALUE"""),149.5)</f>
        <v>149.5</v>
      </c>
      <c r="E1031" s="21">
        <f>IFERROR(__xludf.DUMMYFUNCTION("""COMPUTED_VALUE"""),124.01080095714285)</f>
        <v>124.010801</v>
      </c>
      <c r="F1031" s="21">
        <f>IFERROR(__xludf.DUMMYFUNCTION("""COMPUTED_VALUE"""),113.71000000000001)</f>
        <v>113.71</v>
      </c>
      <c r="G1031" s="21"/>
    </row>
    <row r="1032">
      <c r="A1032" s="23">
        <f>IFERROR(__xludf.DUMMYFUNCTION("""COMPUTED_VALUE"""),45592.0)</f>
        <v>45592</v>
      </c>
      <c r="B1032" s="21">
        <f>IFERROR(__xludf.DUMMYFUNCTION("""COMPUTED_VALUE"""),118.44)</f>
        <v>118.44</v>
      </c>
      <c r="C1032" s="22">
        <f>IFERROR(__xludf.DUMMYFUNCTION("""COMPUTED_VALUE"""),94.72)</f>
        <v>94.72</v>
      </c>
      <c r="D1032" s="22">
        <f>IFERROR(__xludf.DUMMYFUNCTION("""COMPUTED_VALUE"""),149.5)</f>
        <v>149.5</v>
      </c>
      <c r="E1032" s="21">
        <f>IFERROR(__xludf.DUMMYFUNCTION("""COMPUTED_VALUE"""),123.45005067142857)</f>
        <v>123.4500507</v>
      </c>
      <c r="F1032" s="21">
        <f>IFERROR(__xludf.DUMMYFUNCTION("""COMPUTED_VALUE"""),113.71000000000001)</f>
        <v>113.71</v>
      </c>
      <c r="G1032" s="21"/>
    </row>
    <row r="1033">
      <c r="A1033" s="23">
        <f>IFERROR(__xludf.DUMMYFUNCTION("""COMPUTED_VALUE"""),45593.0)</f>
        <v>45593</v>
      </c>
      <c r="B1033" s="21">
        <f>IFERROR(__xludf.DUMMYFUNCTION("""COMPUTED_VALUE"""),118.86)</f>
        <v>118.86</v>
      </c>
      <c r="C1033" s="22">
        <f>IFERROR(__xludf.DUMMYFUNCTION("""COMPUTED_VALUE"""),94.72)</f>
        <v>94.72</v>
      </c>
      <c r="D1033" s="22">
        <f>IFERROR(__xludf.DUMMYFUNCTION("""COMPUTED_VALUE"""),149.5)</f>
        <v>149.5</v>
      </c>
      <c r="E1033" s="21">
        <f>IFERROR(__xludf.DUMMYFUNCTION("""COMPUTED_VALUE"""),121.66316162857143)</f>
        <v>121.6631616</v>
      </c>
      <c r="F1033" s="21">
        <f>IFERROR(__xludf.DUMMYFUNCTION("""COMPUTED_VALUE"""),113.71000000000001)</f>
        <v>113.71</v>
      </c>
      <c r="G1033" s="21"/>
    </row>
    <row r="1034">
      <c r="A1034" s="23">
        <f>IFERROR(__xludf.DUMMYFUNCTION("""COMPUTED_VALUE"""),45594.0)</f>
        <v>45594</v>
      </c>
      <c r="B1034" s="21">
        <f>IFERROR(__xludf.DUMMYFUNCTION("""COMPUTED_VALUE"""),118.86)</f>
        <v>118.86</v>
      </c>
      <c r="C1034" s="22">
        <f>IFERROR(__xludf.DUMMYFUNCTION("""COMPUTED_VALUE"""),94.72)</f>
        <v>94.72</v>
      </c>
      <c r="D1034" s="22">
        <f>IFERROR(__xludf.DUMMYFUNCTION("""COMPUTED_VALUE"""),149.5)</f>
        <v>149.5</v>
      </c>
      <c r="E1034" s="21">
        <f>IFERROR(__xludf.DUMMYFUNCTION("""COMPUTED_VALUE"""),122.33620488571428)</f>
        <v>122.3362049</v>
      </c>
      <c r="F1034" s="21">
        <f>IFERROR(__xludf.DUMMYFUNCTION("""COMPUTED_VALUE"""),113.71000000000001)</f>
        <v>113.71</v>
      </c>
      <c r="G1034" s="21"/>
    </row>
    <row r="1035">
      <c r="A1035" s="23">
        <f>IFERROR(__xludf.DUMMYFUNCTION("""COMPUTED_VALUE"""),45595.0)</f>
        <v>45595</v>
      </c>
      <c r="B1035" s="21">
        <f>IFERROR(__xludf.DUMMYFUNCTION("""COMPUTED_VALUE"""),118.86)</f>
        <v>118.86</v>
      </c>
      <c r="C1035" s="22">
        <f>IFERROR(__xludf.DUMMYFUNCTION("""COMPUTED_VALUE"""),94.72)</f>
        <v>94.72</v>
      </c>
      <c r="D1035" s="22">
        <f>IFERROR(__xludf.DUMMYFUNCTION("""COMPUTED_VALUE"""),149.5)</f>
        <v>149.5</v>
      </c>
      <c r="E1035" s="21">
        <f>IFERROR(__xludf.DUMMYFUNCTION("""COMPUTED_VALUE"""),122.66747331428571)</f>
        <v>122.6674733</v>
      </c>
      <c r="F1035" s="21">
        <f>IFERROR(__xludf.DUMMYFUNCTION("""COMPUTED_VALUE"""),113.71000000000001)</f>
        <v>113.71</v>
      </c>
      <c r="G1035" s="21"/>
    </row>
    <row r="1036">
      <c r="A1036" s="23">
        <f>IFERROR(__xludf.DUMMYFUNCTION("""COMPUTED_VALUE"""),45596.0)</f>
        <v>45596</v>
      </c>
      <c r="B1036" s="21">
        <f>IFERROR(__xludf.DUMMYFUNCTION("""COMPUTED_VALUE"""),118.86)</f>
        <v>118.86</v>
      </c>
      <c r="C1036" s="22">
        <f>IFERROR(__xludf.DUMMYFUNCTION("""COMPUTED_VALUE"""),94.72)</f>
        <v>94.72</v>
      </c>
      <c r="D1036" s="22">
        <f>IFERROR(__xludf.DUMMYFUNCTION("""COMPUTED_VALUE"""),149.5)</f>
        <v>149.5</v>
      </c>
      <c r="E1036" s="21">
        <f>IFERROR(__xludf.DUMMYFUNCTION("""COMPUTED_VALUE"""),122.07776012857143)</f>
        <v>122.0777601</v>
      </c>
      <c r="F1036" s="21">
        <f>IFERROR(__xludf.DUMMYFUNCTION("""COMPUTED_VALUE"""),113.71000000000001)</f>
        <v>113.71</v>
      </c>
      <c r="G1036" s="21"/>
    </row>
    <row r="1037">
      <c r="A1037" s="20">
        <f>IFERROR(__xludf.DUMMYFUNCTION("""COMPUTED_VALUE"""),45597.0)</f>
        <v>45597</v>
      </c>
      <c r="B1037" s="21">
        <f>IFERROR(__xludf.DUMMYFUNCTION("""COMPUTED_VALUE"""),118.86)</f>
        <v>118.86</v>
      </c>
      <c r="C1037" s="22">
        <f>IFERROR(__xludf.DUMMYFUNCTION("""COMPUTED_VALUE"""),94.72)</f>
        <v>94.72</v>
      </c>
      <c r="D1037" s="22">
        <f>IFERROR(__xludf.DUMMYFUNCTION("""COMPUTED_VALUE"""),149.5)</f>
        <v>149.5</v>
      </c>
      <c r="E1037" s="21">
        <f>IFERROR(__xludf.DUMMYFUNCTION("""COMPUTED_VALUE"""),119.78722457142858)</f>
        <v>119.7872246</v>
      </c>
      <c r="F1037" s="21">
        <f>IFERROR(__xludf.DUMMYFUNCTION("""COMPUTED_VALUE"""),113.71000000000001)</f>
        <v>113.71</v>
      </c>
      <c r="G1037" s="21"/>
    </row>
    <row r="1038">
      <c r="A1038" s="20">
        <f>IFERROR(__xludf.DUMMYFUNCTION("""COMPUTED_VALUE"""),45598.0)</f>
        <v>45598</v>
      </c>
      <c r="B1038" s="21">
        <f>IFERROR(__xludf.DUMMYFUNCTION("""COMPUTED_VALUE"""),118.86)</f>
        <v>118.86</v>
      </c>
      <c r="C1038" s="22">
        <f>IFERROR(__xludf.DUMMYFUNCTION("""COMPUTED_VALUE"""),94.72)</f>
        <v>94.72</v>
      </c>
      <c r="D1038" s="22">
        <f>IFERROR(__xludf.DUMMYFUNCTION("""COMPUTED_VALUE"""),149.5)</f>
        <v>149.5</v>
      </c>
      <c r="E1038" s="21">
        <f>IFERROR(__xludf.DUMMYFUNCTION("""COMPUTED_VALUE"""),119.8617494857143)</f>
        <v>119.8617495</v>
      </c>
      <c r="F1038" s="21">
        <f>IFERROR(__xludf.DUMMYFUNCTION("""COMPUTED_VALUE"""),113.71000000000001)</f>
        <v>113.71</v>
      </c>
      <c r="G1038" s="21"/>
    </row>
    <row r="1039">
      <c r="A1039" s="20">
        <f>IFERROR(__xludf.DUMMYFUNCTION("""COMPUTED_VALUE"""),45599.0)</f>
        <v>45599</v>
      </c>
      <c r="B1039" s="21">
        <f>IFERROR(__xludf.DUMMYFUNCTION("""COMPUTED_VALUE"""),118.86)</f>
        <v>118.86</v>
      </c>
      <c r="C1039" s="22">
        <f>IFERROR(__xludf.DUMMYFUNCTION("""COMPUTED_VALUE"""),94.72)</f>
        <v>94.72</v>
      </c>
      <c r="D1039" s="22">
        <f>IFERROR(__xludf.DUMMYFUNCTION("""COMPUTED_VALUE"""),149.5)</f>
        <v>149.5</v>
      </c>
      <c r="E1039" s="21">
        <f>IFERROR(__xludf.DUMMYFUNCTION("""COMPUTED_VALUE"""),118.89895305714286)</f>
        <v>118.8989531</v>
      </c>
      <c r="F1039" s="21">
        <f>IFERROR(__xludf.DUMMYFUNCTION("""COMPUTED_VALUE"""),113.71000000000001)</f>
        <v>113.71</v>
      </c>
      <c r="G1039" s="21"/>
    </row>
    <row r="1040">
      <c r="A1040" s="20">
        <f>IFERROR(__xludf.DUMMYFUNCTION("""COMPUTED_VALUE"""),45600.0)</f>
        <v>45600</v>
      </c>
      <c r="B1040" s="21">
        <f>IFERROR(__xludf.DUMMYFUNCTION("""COMPUTED_VALUE"""),118.86)</f>
        <v>118.86</v>
      </c>
      <c r="C1040" s="22">
        <f>IFERROR(__xludf.DUMMYFUNCTION("""COMPUTED_VALUE"""),94.72)</f>
        <v>94.72</v>
      </c>
      <c r="D1040" s="22">
        <f>IFERROR(__xludf.DUMMYFUNCTION("""COMPUTED_VALUE"""),149.5)</f>
        <v>149.5</v>
      </c>
      <c r="E1040" s="21">
        <f>IFERROR(__xludf.DUMMYFUNCTION("""COMPUTED_VALUE"""),120.63795185714285)</f>
        <v>120.6379519</v>
      </c>
      <c r="F1040" s="21">
        <f>IFERROR(__xludf.DUMMYFUNCTION("""COMPUTED_VALUE"""),113.71000000000001)</f>
        <v>113.71</v>
      </c>
      <c r="G1040" s="21"/>
    </row>
    <row r="1041">
      <c r="A1041" s="20">
        <f>IFERROR(__xludf.DUMMYFUNCTION("""COMPUTED_VALUE"""),45601.0)</f>
        <v>45601</v>
      </c>
      <c r="B1041" s="21">
        <f>IFERROR(__xludf.DUMMYFUNCTION("""COMPUTED_VALUE"""),118.86)</f>
        <v>118.86</v>
      </c>
      <c r="C1041" s="22">
        <f>IFERROR(__xludf.DUMMYFUNCTION("""COMPUTED_VALUE"""),94.72)</f>
        <v>94.72</v>
      </c>
      <c r="D1041" s="22">
        <f>IFERROR(__xludf.DUMMYFUNCTION("""COMPUTED_VALUE"""),149.5)</f>
        <v>149.5</v>
      </c>
      <c r="E1041" s="21">
        <f>IFERROR(__xludf.DUMMYFUNCTION("""COMPUTED_VALUE"""),120.1479168)</f>
        <v>120.1479168</v>
      </c>
      <c r="F1041" s="21">
        <f>IFERROR(__xludf.DUMMYFUNCTION("""COMPUTED_VALUE"""),113.71000000000001)</f>
        <v>113.71</v>
      </c>
      <c r="G1041" s="21"/>
    </row>
    <row r="1042">
      <c r="A1042" s="20">
        <f>IFERROR(__xludf.DUMMYFUNCTION("""COMPUTED_VALUE"""),45602.0)</f>
        <v>45602</v>
      </c>
      <c r="B1042" s="21">
        <f>IFERROR(__xludf.DUMMYFUNCTION("""COMPUTED_VALUE"""),118.86)</f>
        <v>118.86</v>
      </c>
      <c r="C1042" s="22">
        <f>IFERROR(__xludf.DUMMYFUNCTION("""COMPUTED_VALUE"""),94.72)</f>
        <v>94.72</v>
      </c>
      <c r="D1042" s="22">
        <f>IFERROR(__xludf.DUMMYFUNCTION("""COMPUTED_VALUE"""),149.5)</f>
        <v>149.5</v>
      </c>
      <c r="E1042" s="21">
        <f>IFERROR(__xludf.DUMMYFUNCTION("""COMPUTED_VALUE"""),120.1906137)</f>
        <v>120.1906137</v>
      </c>
      <c r="F1042" s="21">
        <f>IFERROR(__xludf.DUMMYFUNCTION("""COMPUTED_VALUE"""),113.71000000000001)</f>
        <v>113.71</v>
      </c>
      <c r="G1042" s="21"/>
    </row>
    <row r="1043">
      <c r="A1043" s="20">
        <f>IFERROR(__xludf.DUMMYFUNCTION("""COMPUTED_VALUE"""),45603.0)</f>
        <v>45603</v>
      </c>
      <c r="B1043" s="21">
        <f>IFERROR(__xludf.DUMMYFUNCTION("""COMPUTED_VALUE"""),118.86)</f>
        <v>118.86</v>
      </c>
      <c r="C1043" s="22">
        <f>IFERROR(__xludf.DUMMYFUNCTION("""COMPUTED_VALUE"""),94.72)</f>
        <v>94.72</v>
      </c>
      <c r="D1043" s="22">
        <f>IFERROR(__xludf.DUMMYFUNCTION("""COMPUTED_VALUE"""),149.5)</f>
        <v>149.5</v>
      </c>
      <c r="E1043" s="21">
        <f>IFERROR(__xludf.DUMMYFUNCTION("""COMPUTED_VALUE"""),121.90703175714286)</f>
        <v>121.9070318</v>
      </c>
      <c r="F1043" s="21">
        <f>IFERROR(__xludf.DUMMYFUNCTION("""COMPUTED_VALUE"""),113.71000000000001)</f>
        <v>113.71</v>
      </c>
      <c r="G1043" s="21"/>
    </row>
    <row r="1044">
      <c r="A1044" s="20">
        <f>IFERROR(__xludf.DUMMYFUNCTION("""COMPUTED_VALUE"""),45604.0)</f>
        <v>45604</v>
      </c>
      <c r="B1044" s="21">
        <f>IFERROR(__xludf.DUMMYFUNCTION("""COMPUTED_VALUE"""),118.86)</f>
        <v>118.86</v>
      </c>
      <c r="C1044" s="22">
        <f>IFERROR(__xludf.DUMMYFUNCTION("""COMPUTED_VALUE"""),94.72)</f>
        <v>94.72</v>
      </c>
      <c r="D1044" s="22">
        <f>IFERROR(__xludf.DUMMYFUNCTION("""COMPUTED_VALUE"""),149.5)</f>
        <v>149.5</v>
      </c>
      <c r="E1044" s="21">
        <f>IFERROR(__xludf.DUMMYFUNCTION("""COMPUTED_VALUE"""),123.64060255714287)</f>
        <v>123.6406026</v>
      </c>
      <c r="F1044" s="21">
        <f>IFERROR(__xludf.DUMMYFUNCTION("""COMPUTED_VALUE"""),113.71000000000001)</f>
        <v>113.71</v>
      </c>
      <c r="G1044" s="21"/>
    </row>
    <row r="1045">
      <c r="A1045" s="20">
        <f>IFERROR(__xludf.DUMMYFUNCTION("""COMPUTED_VALUE"""),45605.0)</f>
        <v>45605</v>
      </c>
      <c r="B1045" s="21">
        <f>IFERROR(__xludf.DUMMYFUNCTION("""COMPUTED_VALUE"""),118.86)</f>
        <v>118.86</v>
      </c>
      <c r="C1045" s="22">
        <f>IFERROR(__xludf.DUMMYFUNCTION("""COMPUTED_VALUE"""),94.72)</f>
        <v>94.72</v>
      </c>
      <c r="D1045" s="22">
        <f>IFERROR(__xludf.DUMMYFUNCTION("""COMPUTED_VALUE"""),149.5)</f>
        <v>149.5</v>
      </c>
      <c r="E1045" s="21">
        <f>IFERROR(__xludf.DUMMYFUNCTION("""COMPUTED_VALUE"""),124.25587841428572)</f>
        <v>124.2558784</v>
      </c>
      <c r="F1045" s="21">
        <f>IFERROR(__xludf.DUMMYFUNCTION("""COMPUTED_VALUE"""),113.71000000000001)</f>
        <v>113.71</v>
      </c>
      <c r="G1045" s="21"/>
    </row>
    <row r="1046">
      <c r="A1046" s="24">
        <f>IFERROR(__xludf.DUMMYFUNCTION("""COMPUTED_VALUE"""),45606.0)</f>
        <v>45606</v>
      </c>
      <c r="B1046" s="21">
        <f>IFERROR(__xludf.DUMMYFUNCTION("""COMPUTED_VALUE"""),118.86)</f>
        <v>118.86</v>
      </c>
      <c r="C1046" s="22">
        <f>IFERROR(__xludf.DUMMYFUNCTION("""COMPUTED_VALUE"""),94.72)</f>
        <v>94.72</v>
      </c>
      <c r="D1046" s="22">
        <f>IFERROR(__xludf.DUMMYFUNCTION("""COMPUTED_VALUE"""),149.5)</f>
        <v>149.5</v>
      </c>
      <c r="E1046" s="21">
        <f>IFERROR(__xludf.DUMMYFUNCTION("""COMPUTED_VALUE"""),125.98725211428571)</f>
        <v>125.9872521</v>
      </c>
      <c r="F1046" s="21">
        <f>IFERROR(__xludf.DUMMYFUNCTION("""COMPUTED_VALUE"""),113.71000000000001)</f>
        <v>113.71</v>
      </c>
      <c r="G1046" s="21"/>
    </row>
    <row r="1047">
      <c r="A1047" s="24">
        <f>IFERROR(__xludf.DUMMYFUNCTION("""COMPUTED_VALUE"""),45607.0)</f>
        <v>45607</v>
      </c>
      <c r="B1047" s="21">
        <f>IFERROR(__xludf.DUMMYFUNCTION("""COMPUTED_VALUE"""),118.86)</f>
        <v>118.86</v>
      </c>
      <c r="C1047" s="22">
        <f>IFERROR(__xludf.DUMMYFUNCTION("""COMPUTED_VALUE"""),94.72)</f>
        <v>94.72</v>
      </c>
      <c r="D1047" s="22">
        <f>IFERROR(__xludf.DUMMYFUNCTION("""COMPUTED_VALUE"""),149.5)</f>
        <v>149.5</v>
      </c>
      <c r="E1047" s="21">
        <f>IFERROR(__xludf.DUMMYFUNCTION("""COMPUTED_VALUE"""),125.70911141428572)</f>
        <v>125.7091114</v>
      </c>
      <c r="F1047" s="21">
        <f>IFERROR(__xludf.DUMMYFUNCTION("""COMPUTED_VALUE"""),113.71000000000001)</f>
        <v>113.71</v>
      </c>
      <c r="G1047" s="21"/>
    </row>
    <row r="1048">
      <c r="A1048" s="24">
        <f>IFERROR(__xludf.DUMMYFUNCTION("""COMPUTED_VALUE"""),45608.0)</f>
        <v>45608</v>
      </c>
      <c r="B1048" s="21">
        <f>IFERROR(__xludf.DUMMYFUNCTION("""COMPUTED_VALUE"""),118.86)</f>
        <v>118.86</v>
      </c>
      <c r="C1048" s="22">
        <f>IFERROR(__xludf.DUMMYFUNCTION("""COMPUTED_VALUE"""),94.72)</f>
        <v>94.72</v>
      </c>
      <c r="D1048" s="22">
        <f>IFERROR(__xludf.DUMMYFUNCTION("""COMPUTED_VALUE"""),149.5)</f>
        <v>149.5</v>
      </c>
      <c r="E1048" s="21">
        <f>IFERROR(__xludf.DUMMYFUNCTION("""COMPUTED_VALUE"""),127.7981706)</f>
        <v>127.7981706</v>
      </c>
      <c r="F1048" s="21">
        <f>IFERROR(__xludf.DUMMYFUNCTION("""COMPUTED_VALUE"""),113.71000000000001)</f>
        <v>113.71</v>
      </c>
      <c r="G1048" s="21"/>
    </row>
    <row r="1049">
      <c r="A1049" s="23">
        <f>IFERROR(__xludf.DUMMYFUNCTION("""COMPUTED_VALUE"""),45609.0)</f>
        <v>45609</v>
      </c>
      <c r="B1049" s="21">
        <f>IFERROR(__xludf.DUMMYFUNCTION("""COMPUTED_VALUE"""),118.86)</f>
        <v>118.86</v>
      </c>
      <c r="C1049" s="22">
        <f>IFERROR(__xludf.DUMMYFUNCTION("""COMPUTED_VALUE"""),94.72)</f>
        <v>94.72</v>
      </c>
      <c r="D1049" s="22">
        <f>IFERROR(__xludf.DUMMYFUNCTION("""COMPUTED_VALUE"""),149.5)</f>
        <v>149.5</v>
      </c>
      <c r="E1049" s="21">
        <f>IFERROR(__xludf.DUMMYFUNCTION("""COMPUTED_VALUE"""),129.5248534)</f>
        <v>129.5248534</v>
      </c>
      <c r="F1049" s="21">
        <f>IFERROR(__xludf.DUMMYFUNCTION("""COMPUTED_VALUE"""),113.71000000000001)</f>
        <v>113.71</v>
      </c>
      <c r="G1049" s="21"/>
    </row>
    <row r="1050">
      <c r="A1050" s="23">
        <f>IFERROR(__xludf.DUMMYFUNCTION("""COMPUTED_VALUE"""),45610.0)</f>
        <v>45610</v>
      </c>
      <c r="B1050" s="21">
        <f>IFERROR(__xludf.DUMMYFUNCTION("""COMPUTED_VALUE"""),118.86)</f>
        <v>118.86</v>
      </c>
      <c r="C1050" s="22">
        <f>IFERROR(__xludf.DUMMYFUNCTION("""COMPUTED_VALUE"""),94.72)</f>
        <v>94.72</v>
      </c>
      <c r="D1050" s="22">
        <f>IFERROR(__xludf.DUMMYFUNCTION("""COMPUTED_VALUE"""),149.5)</f>
        <v>149.5</v>
      </c>
      <c r="E1050" s="21">
        <f>IFERROR(__xludf.DUMMYFUNCTION("""COMPUTED_VALUE"""),130.37029521428573)</f>
        <v>130.3702952</v>
      </c>
      <c r="F1050" s="21">
        <f>IFERROR(__xludf.DUMMYFUNCTION("""COMPUTED_VALUE"""),113.71000000000001)</f>
        <v>113.71</v>
      </c>
      <c r="G1050" s="21"/>
    </row>
    <row r="1051">
      <c r="A1051" s="23">
        <f>IFERROR(__xludf.DUMMYFUNCTION("""COMPUTED_VALUE"""),45611.0)</f>
        <v>45611</v>
      </c>
      <c r="B1051" s="21">
        <f>IFERROR(__xludf.DUMMYFUNCTION("""COMPUTED_VALUE"""),118.86)</f>
        <v>118.86</v>
      </c>
      <c r="C1051" s="22">
        <f>IFERROR(__xludf.DUMMYFUNCTION("""COMPUTED_VALUE"""),94.72)</f>
        <v>94.72</v>
      </c>
      <c r="D1051" s="22">
        <f>IFERROR(__xludf.DUMMYFUNCTION("""COMPUTED_VALUE"""),149.5)</f>
        <v>149.5</v>
      </c>
      <c r="E1051" s="21">
        <f>IFERROR(__xludf.DUMMYFUNCTION("""COMPUTED_VALUE"""),132.71951650000003)</f>
        <v>132.7195165</v>
      </c>
      <c r="F1051" s="21">
        <f>IFERROR(__xludf.DUMMYFUNCTION("""COMPUTED_VALUE"""),113.71000000000001)</f>
        <v>113.71</v>
      </c>
      <c r="G1051" s="21"/>
    </row>
    <row r="1052">
      <c r="A1052" s="25">
        <f>IFERROR(__xludf.DUMMYFUNCTION("""COMPUTED_VALUE"""),45612.0)</f>
        <v>45612</v>
      </c>
      <c r="B1052" s="26">
        <f>IFERROR(__xludf.DUMMYFUNCTION("""COMPUTED_VALUE"""),118.86)</f>
        <v>118.86</v>
      </c>
      <c r="C1052" s="27">
        <f>IFERROR(__xludf.DUMMYFUNCTION("""COMPUTED_VALUE"""),94.72)</f>
        <v>94.72</v>
      </c>
      <c r="D1052" s="27">
        <f>IFERROR(__xludf.DUMMYFUNCTION("""COMPUTED_VALUE"""),149.5)</f>
        <v>149.5</v>
      </c>
      <c r="E1052" s="26">
        <f>IFERROR(__xludf.DUMMYFUNCTION("""COMPUTED_VALUE"""),134.76844724285712)</f>
        <v>134.7684472</v>
      </c>
      <c r="F1052" s="26">
        <f>IFERROR(__xludf.DUMMYFUNCTION("""COMPUTED_VALUE"""),113.71000000000001)</f>
        <v>113.71</v>
      </c>
      <c r="G1052" s="26"/>
    </row>
    <row r="1053">
      <c r="A1053" s="25">
        <f>IFERROR(__xludf.DUMMYFUNCTION("""COMPUTED_VALUE"""),45613.0)</f>
        <v>45613</v>
      </c>
      <c r="B1053" s="26">
        <f>IFERROR(__xludf.DUMMYFUNCTION("""COMPUTED_VALUE"""),118.86)</f>
        <v>118.86</v>
      </c>
      <c r="C1053" s="27">
        <f>IFERROR(__xludf.DUMMYFUNCTION("""COMPUTED_VALUE"""),94.72)</f>
        <v>94.72</v>
      </c>
      <c r="D1053" s="27">
        <f>IFERROR(__xludf.DUMMYFUNCTION("""COMPUTED_VALUE"""),149.5)</f>
        <v>149.5</v>
      </c>
      <c r="E1053" s="26">
        <f>IFERROR(__xludf.DUMMYFUNCTION("""COMPUTED_VALUE"""),135.42200345714284)</f>
        <v>135.4220035</v>
      </c>
      <c r="F1053" s="26">
        <f>IFERROR(__xludf.DUMMYFUNCTION("""COMPUTED_VALUE"""),113.71000000000001)</f>
        <v>113.71</v>
      </c>
      <c r="G1053" s="26"/>
    </row>
    <row r="1054">
      <c r="A1054" s="25">
        <f>IFERROR(__xludf.DUMMYFUNCTION("""COMPUTED_VALUE"""),45614.0)</f>
        <v>45614</v>
      </c>
      <c r="B1054" s="26">
        <f>IFERROR(__xludf.DUMMYFUNCTION("""COMPUTED_VALUE"""),118.95)</f>
        <v>118.95</v>
      </c>
      <c r="C1054" s="27">
        <f>IFERROR(__xludf.DUMMYFUNCTION("""COMPUTED_VALUE"""),94.72)</f>
        <v>94.72</v>
      </c>
      <c r="D1054" s="27">
        <f>IFERROR(__xludf.DUMMYFUNCTION("""COMPUTED_VALUE"""),151.0)</f>
        <v>151</v>
      </c>
      <c r="E1054" s="26">
        <f>IFERROR(__xludf.DUMMYFUNCTION("""COMPUTED_VALUE"""),136.8867675142857)</f>
        <v>136.8867675</v>
      </c>
      <c r="F1054" s="26">
        <f>IFERROR(__xludf.DUMMYFUNCTION("""COMPUTED_VALUE"""),114.9067857142857)</f>
        <v>114.9067857</v>
      </c>
      <c r="G1054" s="26"/>
    </row>
    <row r="1055">
      <c r="A1055" s="25">
        <f>IFERROR(__xludf.DUMMYFUNCTION("""COMPUTED_VALUE"""),45615.0)</f>
        <v>45615</v>
      </c>
      <c r="B1055" s="26">
        <f>IFERROR(__xludf.DUMMYFUNCTION("""COMPUTED_VALUE"""),118.95)</f>
        <v>118.95</v>
      </c>
      <c r="C1055" s="27">
        <f>IFERROR(__xludf.DUMMYFUNCTION("""COMPUTED_VALUE"""),94.72)</f>
        <v>94.72</v>
      </c>
      <c r="D1055" s="27">
        <f>IFERROR(__xludf.DUMMYFUNCTION("""COMPUTED_VALUE"""),151.0)</f>
        <v>151</v>
      </c>
      <c r="E1055" s="26">
        <f>IFERROR(__xludf.DUMMYFUNCTION("""COMPUTED_VALUE"""),137.07752341428574)</f>
        <v>137.0775234</v>
      </c>
      <c r="F1055" s="26">
        <f>IFERROR(__xludf.DUMMYFUNCTION("""COMPUTED_VALUE"""),116.10357142857141)</f>
        <v>116.1035714</v>
      </c>
      <c r="G1055" s="26"/>
    </row>
    <row r="1056">
      <c r="A1056" s="25">
        <f>IFERROR(__xludf.DUMMYFUNCTION("""COMPUTED_VALUE"""),45616.0)</f>
        <v>45616</v>
      </c>
      <c r="B1056" s="26">
        <f>IFERROR(__xludf.DUMMYFUNCTION("""COMPUTED_VALUE"""),118.95)</f>
        <v>118.95</v>
      </c>
      <c r="C1056" s="27">
        <f>IFERROR(__xludf.DUMMYFUNCTION("""COMPUTED_VALUE"""),94.72)</f>
        <v>94.72</v>
      </c>
      <c r="D1056" s="27">
        <f>IFERROR(__xludf.DUMMYFUNCTION("""COMPUTED_VALUE"""),151.0)</f>
        <v>151</v>
      </c>
      <c r="E1056" s="26">
        <f>IFERROR(__xludf.DUMMYFUNCTION("""COMPUTED_VALUE"""),136.00011517142858)</f>
        <v>136.0001152</v>
      </c>
      <c r="F1056" s="26">
        <f>IFERROR(__xludf.DUMMYFUNCTION("""COMPUTED_VALUE"""),117.30035714285714)</f>
        <v>117.3003571</v>
      </c>
      <c r="G1056" s="26"/>
    </row>
    <row r="1057">
      <c r="A1057" s="25">
        <f>IFERROR(__xludf.DUMMYFUNCTION("""COMPUTED_VALUE"""),45617.0)</f>
        <v>45617</v>
      </c>
      <c r="B1057" s="26">
        <f>IFERROR(__xludf.DUMMYFUNCTION("""COMPUTED_VALUE"""),118.95)</f>
        <v>118.95</v>
      </c>
      <c r="C1057" s="27">
        <f>IFERROR(__xludf.DUMMYFUNCTION("""COMPUTED_VALUE"""),94.72)</f>
        <v>94.72</v>
      </c>
      <c r="D1057" s="27">
        <f>IFERROR(__xludf.DUMMYFUNCTION("""COMPUTED_VALUE"""),151.0)</f>
        <v>151</v>
      </c>
      <c r="E1057" s="26">
        <f>IFERROR(__xludf.DUMMYFUNCTION("""COMPUTED_VALUE"""),136.2198900857143)</f>
        <v>136.2198901</v>
      </c>
      <c r="F1057" s="26">
        <f>IFERROR(__xludf.DUMMYFUNCTION("""COMPUTED_VALUE"""),118.49714285714285)</f>
        <v>118.4971429</v>
      </c>
      <c r="G1057" s="26"/>
    </row>
    <row r="1058">
      <c r="A1058" s="25">
        <f>IFERROR(__xludf.DUMMYFUNCTION("""COMPUTED_VALUE"""),45618.0)</f>
        <v>45618</v>
      </c>
      <c r="B1058" s="26">
        <f>IFERROR(__xludf.DUMMYFUNCTION("""COMPUTED_VALUE"""),118.95)</f>
        <v>118.95</v>
      </c>
      <c r="C1058" s="27">
        <f>IFERROR(__xludf.DUMMYFUNCTION("""COMPUTED_VALUE"""),94.72)</f>
        <v>94.72</v>
      </c>
      <c r="D1058" s="27">
        <f>IFERROR(__xludf.DUMMYFUNCTION("""COMPUTED_VALUE"""),151.0)</f>
        <v>151</v>
      </c>
      <c r="E1058" s="26">
        <f>IFERROR(__xludf.DUMMYFUNCTION("""COMPUTED_VALUE"""),136.46306261428572)</f>
        <v>136.4630626</v>
      </c>
      <c r="F1058" s="26">
        <f>IFERROR(__xludf.DUMMYFUNCTION("""COMPUTED_VALUE"""),119.69392857142857)</f>
        <v>119.6939286</v>
      </c>
      <c r="G1058" s="26"/>
    </row>
    <row r="1059">
      <c r="A1059" s="25">
        <f>IFERROR(__xludf.DUMMYFUNCTION("""COMPUTED_VALUE"""),45619.0)</f>
        <v>45619</v>
      </c>
      <c r="B1059" s="26">
        <f>IFERROR(__xludf.DUMMYFUNCTION("""COMPUTED_VALUE"""),118.95)</f>
        <v>118.95</v>
      </c>
      <c r="C1059" s="27">
        <f>IFERROR(__xludf.DUMMYFUNCTION("""COMPUTED_VALUE"""),94.72)</f>
        <v>94.72</v>
      </c>
      <c r="D1059" s="27">
        <f>IFERROR(__xludf.DUMMYFUNCTION("""COMPUTED_VALUE"""),151.0)</f>
        <v>151</v>
      </c>
      <c r="E1059" s="26">
        <f>IFERROR(__xludf.DUMMYFUNCTION("""COMPUTED_VALUE"""),137.09099837142858)</f>
        <v>137.0909984</v>
      </c>
      <c r="F1059" s="26">
        <f>IFERROR(__xludf.DUMMYFUNCTION("""COMPUTED_VALUE"""),120.89071428571427)</f>
        <v>120.8907143</v>
      </c>
      <c r="G1059" s="26"/>
    </row>
    <row r="1060">
      <c r="A1060" s="25">
        <f>IFERROR(__xludf.DUMMYFUNCTION("""COMPUTED_VALUE"""),45620.0)</f>
        <v>45620</v>
      </c>
      <c r="B1060" s="26">
        <f>IFERROR(__xludf.DUMMYFUNCTION("""COMPUTED_VALUE"""),118.95)</f>
        <v>118.95</v>
      </c>
      <c r="C1060" s="27">
        <f>IFERROR(__xludf.DUMMYFUNCTION("""COMPUTED_VALUE"""),94.72)</f>
        <v>94.72</v>
      </c>
      <c r="D1060" s="27">
        <f>IFERROR(__xludf.DUMMYFUNCTION("""COMPUTED_VALUE"""),151.0)</f>
        <v>151</v>
      </c>
      <c r="E1060" s="26">
        <f>IFERROR(__xludf.DUMMYFUNCTION("""COMPUTED_VALUE"""),138.3049693857143)</f>
        <v>138.3049694</v>
      </c>
      <c r="F1060" s="26">
        <f>IFERROR(__xludf.DUMMYFUNCTION("""COMPUTED_VALUE"""),122.08749999999999)</f>
        <v>122.0875</v>
      </c>
      <c r="G1060" s="26"/>
    </row>
    <row r="1061">
      <c r="A1061" s="25">
        <f>IFERROR(__xludf.DUMMYFUNCTION("""COMPUTED_VALUE"""),45621.0)</f>
        <v>45621</v>
      </c>
      <c r="B1061" s="26">
        <f>IFERROR(__xludf.DUMMYFUNCTION("""COMPUTED_VALUE"""),121.91)</f>
        <v>121.91</v>
      </c>
      <c r="C1061" s="27">
        <f>IFERROR(__xludf.DUMMYFUNCTION("""COMPUTED_VALUE"""),96.45)</f>
        <v>96.45</v>
      </c>
      <c r="D1061" s="27">
        <f>IFERROR(__xludf.DUMMYFUNCTION("""COMPUTED_VALUE"""),151.0)</f>
        <v>151</v>
      </c>
      <c r="E1061" s="26">
        <f>IFERROR(__xludf.DUMMYFUNCTION("""COMPUTED_VALUE"""),139.149957)</f>
        <v>139.149957</v>
      </c>
      <c r="F1061" s="26">
        <f>IFERROR(__xludf.DUMMYFUNCTION("""COMPUTED_VALUE"""),122.77428571428571)</f>
        <v>122.7742857</v>
      </c>
      <c r="G1061" s="26"/>
    </row>
    <row r="1062">
      <c r="A1062" s="25">
        <f>IFERROR(__xludf.DUMMYFUNCTION("""COMPUTED_VALUE"""),45622.0)</f>
        <v>45622</v>
      </c>
      <c r="B1062" s="26">
        <f>IFERROR(__xludf.DUMMYFUNCTION("""COMPUTED_VALUE"""),121.91)</f>
        <v>121.91</v>
      </c>
      <c r="C1062" s="27">
        <f>IFERROR(__xludf.DUMMYFUNCTION("""COMPUTED_VALUE"""),96.45)</f>
        <v>96.45</v>
      </c>
      <c r="D1062" s="27">
        <f>IFERROR(__xludf.DUMMYFUNCTION("""COMPUTED_VALUE"""),151.0)</f>
        <v>151</v>
      </c>
      <c r="E1062" s="26">
        <f>IFERROR(__xludf.DUMMYFUNCTION("""COMPUTED_VALUE"""),140.48444574285716)</f>
        <v>140.4844457</v>
      </c>
      <c r="F1062" s="26">
        <f>IFERROR(__xludf.DUMMYFUNCTION("""COMPUTED_VALUE"""),123.46107142857143)</f>
        <v>123.4610714</v>
      </c>
      <c r="G1062" s="26"/>
    </row>
    <row r="1063">
      <c r="A1063" s="25">
        <f>IFERROR(__xludf.DUMMYFUNCTION("""COMPUTED_VALUE"""),45623.0)</f>
        <v>45623</v>
      </c>
      <c r="B1063" s="26">
        <f>IFERROR(__xludf.DUMMYFUNCTION("""COMPUTED_VALUE"""),121.91)</f>
        <v>121.91</v>
      </c>
      <c r="C1063" s="27">
        <f>IFERROR(__xludf.DUMMYFUNCTION("""COMPUTED_VALUE"""),96.45)</f>
        <v>96.45</v>
      </c>
      <c r="D1063" s="27">
        <f>IFERROR(__xludf.DUMMYFUNCTION("""COMPUTED_VALUE"""),151.0)</f>
        <v>151</v>
      </c>
      <c r="E1063" s="26">
        <f>IFERROR(__xludf.DUMMYFUNCTION("""COMPUTED_VALUE"""),144.06137705714286)</f>
        <v>144.0613771</v>
      </c>
      <c r="F1063" s="26">
        <f>IFERROR(__xludf.DUMMYFUNCTION("""COMPUTED_VALUE"""),124.14785714285713)</f>
        <v>124.1478571</v>
      </c>
      <c r="G1063" s="26"/>
    </row>
    <row r="1064">
      <c r="A1064" s="25">
        <f>IFERROR(__xludf.DUMMYFUNCTION("""COMPUTED_VALUE"""),45624.0)</f>
        <v>45624</v>
      </c>
      <c r="B1064" s="26">
        <f>IFERROR(__xludf.DUMMYFUNCTION("""COMPUTED_VALUE"""),121.91)</f>
        <v>121.91</v>
      </c>
      <c r="C1064" s="27">
        <f>IFERROR(__xludf.DUMMYFUNCTION("""COMPUTED_VALUE"""),96.45)</f>
        <v>96.45</v>
      </c>
      <c r="D1064" s="27">
        <f>IFERROR(__xludf.DUMMYFUNCTION("""COMPUTED_VALUE"""),151.0)</f>
        <v>151</v>
      </c>
      <c r="E1064" s="26">
        <f>IFERROR(__xludf.DUMMYFUNCTION("""COMPUTED_VALUE"""),145.54998707142857)</f>
        <v>145.5499871</v>
      </c>
      <c r="F1064" s="26">
        <f>IFERROR(__xludf.DUMMYFUNCTION("""COMPUTED_VALUE"""),124.83464285714285)</f>
        <v>124.8346429</v>
      </c>
      <c r="G1064" s="26"/>
    </row>
    <row r="1065">
      <c r="A1065" s="25">
        <f>IFERROR(__xludf.DUMMYFUNCTION("""COMPUTED_VALUE"""),45625.0)</f>
        <v>45625</v>
      </c>
      <c r="B1065" s="26">
        <f>IFERROR(__xludf.DUMMYFUNCTION("""COMPUTED_VALUE"""),121.91)</f>
        <v>121.91</v>
      </c>
      <c r="C1065" s="27">
        <f>IFERROR(__xludf.DUMMYFUNCTION("""COMPUTED_VALUE"""),96.45)</f>
        <v>96.45</v>
      </c>
      <c r="D1065" s="27">
        <f>IFERROR(__xludf.DUMMYFUNCTION("""COMPUTED_VALUE"""),151.0)</f>
        <v>151</v>
      </c>
      <c r="E1065" s="26">
        <f>IFERROR(__xludf.DUMMYFUNCTION("""COMPUTED_VALUE"""),145.59763635714287)</f>
        <v>145.5976364</v>
      </c>
      <c r="F1065" s="26">
        <f>IFERROR(__xludf.DUMMYFUNCTION("""COMPUTED_VALUE"""),125.52142857142857)</f>
        <v>125.5214286</v>
      </c>
      <c r="G1065" s="26"/>
    </row>
    <row r="1066">
      <c r="A1066" s="25">
        <f>IFERROR(__xludf.DUMMYFUNCTION("""COMPUTED_VALUE"""),45626.0)</f>
        <v>45626</v>
      </c>
      <c r="B1066" s="26">
        <f>IFERROR(__xludf.DUMMYFUNCTION("""COMPUTED_VALUE"""),121.91)</f>
        <v>121.91</v>
      </c>
      <c r="C1066" s="27">
        <f>IFERROR(__xludf.DUMMYFUNCTION("""COMPUTED_VALUE"""),96.45)</f>
        <v>96.45</v>
      </c>
      <c r="D1066" s="27">
        <f>IFERROR(__xludf.DUMMYFUNCTION("""COMPUTED_VALUE"""),151.0)</f>
        <v>151</v>
      </c>
      <c r="E1066" s="26">
        <f>IFERROR(__xludf.DUMMYFUNCTION("""COMPUTED_VALUE"""),143.26351330000003)</f>
        <v>143.2635133</v>
      </c>
      <c r="F1066" s="26">
        <f>IFERROR(__xludf.DUMMYFUNCTION("""COMPUTED_VALUE"""),126.20821428571428)</f>
        <v>126.2082143</v>
      </c>
      <c r="G1066" s="26"/>
    </row>
    <row r="1067">
      <c r="A1067" s="25">
        <f>IFERROR(__xludf.DUMMYFUNCTION("""COMPUTED_VALUE"""),45627.0)</f>
        <v>45627</v>
      </c>
      <c r="B1067" s="26">
        <f>IFERROR(__xludf.DUMMYFUNCTION("""COMPUTED_VALUE"""),121.91)</f>
        <v>121.91</v>
      </c>
      <c r="C1067" s="27">
        <f>IFERROR(__xludf.DUMMYFUNCTION("""COMPUTED_VALUE"""),96.45)</f>
        <v>96.45</v>
      </c>
      <c r="D1067" s="27">
        <f>IFERROR(__xludf.DUMMYFUNCTION("""COMPUTED_VALUE"""),151.0)</f>
        <v>151</v>
      </c>
      <c r="E1067" s="26">
        <f>IFERROR(__xludf.DUMMYFUNCTION("""COMPUTED_VALUE"""),140.9113039714286)</f>
        <v>140.911304</v>
      </c>
      <c r="F1067" s="26">
        <f>IFERROR(__xludf.DUMMYFUNCTION("""COMPUTED_VALUE"""),126.895)</f>
        <v>126.895</v>
      </c>
      <c r="G1067" s="26"/>
    </row>
    <row r="1068">
      <c r="A1068" s="25">
        <f>IFERROR(__xludf.DUMMYFUNCTION("""COMPUTED_VALUE"""),45628.0)</f>
        <v>45628</v>
      </c>
      <c r="B1068" s="26">
        <f>IFERROR(__xludf.DUMMYFUNCTION("""COMPUTED_VALUE"""),121.91)</f>
        <v>121.91</v>
      </c>
      <c r="C1068" s="27">
        <f>IFERROR(__xludf.DUMMYFUNCTION("""COMPUTED_VALUE"""),96.45)</f>
        <v>96.45</v>
      </c>
      <c r="D1068" s="27">
        <f>IFERROR(__xludf.DUMMYFUNCTION("""COMPUTED_VALUE"""),151.0)</f>
        <v>151</v>
      </c>
      <c r="E1068" s="26">
        <f>IFERROR(__xludf.DUMMYFUNCTION("""COMPUTED_VALUE"""),140.2852487857143)</f>
        <v>140.2852488</v>
      </c>
      <c r="F1068" s="26">
        <f>IFERROR(__xludf.DUMMYFUNCTION("""COMPUTED_VALUE"""),126.895)</f>
        <v>126.895</v>
      </c>
      <c r="G1068" s="26"/>
    </row>
    <row r="1069">
      <c r="A1069" s="25">
        <f>IFERROR(__xludf.DUMMYFUNCTION("""COMPUTED_VALUE"""),45629.0)</f>
        <v>45629</v>
      </c>
      <c r="B1069" s="26">
        <f>IFERROR(__xludf.DUMMYFUNCTION("""COMPUTED_VALUE"""),121.91)</f>
        <v>121.91</v>
      </c>
      <c r="C1069" s="27">
        <f>IFERROR(__xludf.DUMMYFUNCTION("""COMPUTED_VALUE"""),96.45)</f>
        <v>96.45</v>
      </c>
      <c r="D1069" s="27">
        <f>IFERROR(__xludf.DUMMYFUNCTION("""COMPUTED_VALUE"""),151.0)</f>
        <v>151</v>
      </c>
      <c r="E1069" s="26">
        <f>IFERROR(__xludf.DUMMYFUNCTION("""COMPUTED_VALUE"""),141.89479202857143)</f>
        <v>141.894792</v>
      </c>
      <c r="F1069" s="26">
        <f>IFERROR(__xludf.DUMMYFUNCTION("""COMPUTED_VALUE"""),126.895)</f>
        <v>126.895</v>
      </c>
      <c r="G1069" s="26"/>
    </row>
    <row r="1070">
      <c r="A1070" s="25">
        <f>IFERROR(__xludf.DUMMYFUNCTION("""COMPUTED_VALUE"""),45630.0)</f>
        <v>45630</v>
      </c>
      <c r="B1070" s="26">
        <f>IFERROR(__xludf.DUMMYFUNCTION("""COMPUTED_VALUE"""),121.91)</f>
        <v>121.91</v>
      </c>
      <c r="C1070" s="27">
        <f>IFERROR(__xludf.DUMMYFUNCTION("""COMPUTED_VALUE"""),96.45)</f>
        <v>96.45</v>
      </c>
      <c r="D1070" s="27">
        <f>IFERROR(__xludf.DUMMYFUNCTION("""COMPUTED_VALUE"""),151.0)</f>
        <v>151</v>
      </c>
      <c r="E1070" s="26">
        <f>IFERROR(__xludf.DUMMYFUNCTION("""COMPUTED_VALUE"""),144.07215607142857)</f>
        <v>144.0721561</v>
      </c>
      <c r="F1070" s="26">
        <f>IFERROR(__xludf.DUMMYFUNCTION("""COMPUTED_VALUE"""),126.895)</f>
        <v>126.895</v>
      </c>
      <c r="G1070" s="26"/>
    </row>
    <row r="1071">
      <c r="A1071" s="25">
        <f>IFERROR(__xludf.DUMMYFUNCTION("""COMPUTED_VALUE"""),45631.0)</f>
        <v>45631</v>
      </c>
      <c r="B1071" s="26">
        <f>IFERROR(__xludf.DUMMYFUNCTION("""COMPUTED_VALUE"""),121.91)</f>
        <v>121.91</v>
      </c>
      <c r="C1071" s="27">
        <f>IFERROR(__xludf.DUMMYFUNCTION("""COMPUTED_VALUE"""),96.45)</f>
        <v>96.45</v>
      </c>
      <c r="D1071" s="27">
        <f>IFERROR(__xludf.DUMMYFUNCTION("""COMPUTED_VALUE"""),151.0)</f>
        <v>151</v>
      </c>
      <c r="E1071" s="26">
        <f>IFERROR(__xludf.DUMMYFUNCTION("""COMPUTED_VALUE"""),144.58863782857142)</f>
        <v>144.5886378</v>
      </c>
      <c r="F1071" s="26">
        <f>IFERROR(__xludf.DUMMYFUNCTION("""COMPUTED_VALUE"""),126.895)</f>
        <v>126.895</v>
      </c>
      <c r="G1071" s="26"/>
    </row>
    <row r="1072">
      <c r="A1072" s="25">
        <f>IFERROR(__xludf.DUMMYFUNCTION("""COMPUTED_VALUE"""),45632.0)</f>
        <v>45632</v>
      </c>
      <c r="B1072" s="26">
        <f>IFERROR(__xludf.DUMMYFUNCTION("""COMPUTED_VALUE"""),121.91)</f>
        <v>121.91</v>
      </c>
      <c r="C1072" s="27">
        <f>IFERROR(__xludf.DUMMYFUNCTION("""COMPUTED_VALUE"""),96.45)</f>
        <v>96.45</v>
      </c>
      <c r="D1072" s="27">
        <f>IFERROR(__xludf.DUMMYFUNCTION("""COMPUTED_VALUE"""),151.0)</f>
        <v>151</v>
      </c>
      <c r="E1072" s="26">
        <f>IFERROR(__xludf.DUMMYFUNCTION("""COMPUTED_VALUE"""),145.93578262857142)</f>
        <v>145.9357826</v>
      </c>
      <c r="F1072" s="26">
        <f>IFERROR(__xludf.DUMMYFUNCTION("""COMPUTED_VALUE"""),126.895)</f>
        <v>126.895</v>
      </c>
      <c r="G1072" s="26"/>
    </row>
    <row r="1073">
      <c r="A1073" s="25">
        <f>IFERROR(__xludf.DUMMYFUNCTION("""COMPUTED_VALUE"""),45633.0)</f>
        <v>45633</v>
      </c>
      <c r="B1073" s="26">
        <f>IFERROR(__xludf.DUMMYFUNCTION("""COMPUTED_VALUE"""),121.91)</f>
        <v>121.91</v>
      </c>
      <c r="C1073" s="27">
        <f>IFERROR(__xludf.DUMMYFUNCTION("""COMPUTED_VALUE"""),96.45)</f>
        <v>96.45</v>
      </c>
      <c r="D1073" s="27">
        <f>IFERROR(__xludf.DUMMYFUNCTION("""COMPUTED_VALUE"""),151.0)</f>
        <v>151</v>
      </c>
      <c r="E1073" s="26">
        <f>IFERROR(__xludf.DUMMYFUNCTION("""COMPUTED_VALUE"""),149.0233043)</f>
        <v>149.0233043</v>
      </c>
      <c r="F1073" s="26">
        <f>IFERROR(__xludf.DUMMYFUNCTION("""COMPUTED_VALUE"""),126.895)</f>
        <v>126.895</v>
      </c>
      <c r="G1073" s="26"/>
    </row>
    <row r="1074">
      <c r="A1074" s="25">
        <f>IFERROR(__xludf.DUMMYFUNCTION("""COMPUTED_VALUE"""),45634.0)</f>
        <v>45634</v>
      </c>
      <c r="B1074" s="26">
        <f>IFERROR(__xludf.DUMMYFUNCTION("""COMPUTED_VALUE"""),121.91)</f>
        <v>121.91</v>
      </c>
      <c r="C1074" s="27">
        <f>IFERROR(__xludf.DUMMYFUNCTION("""COMPUTED_VALUE"""),96.45)</f>
        <v>96.45</v>
      </c>
      <c r="D1074" s="27">
        <f>IFERROR(__xludf.DUMMYFUNCTION("""COMPUTED_VALUE"""),151.0)</f>
        <v>151</v>
      </c>
      <c r="E1074" s="26">
        <f>IFERROR(__xludf.DUMMYFUNCTION("""COMPUTED_VALUE"""),150.80216722857145)</f>
        <v>150.8021672</v>
      </c>
      <c r="F1074" s="26">
        <f>IFERROR(__xludf.DUMMYFUNCTION("""COMPUTED_VALUE"""),126.895)</f>
        <v>126.895</v>
      </c>
      <c r="G1074" s="26"/>
    </row>
    <row r="1075">
      <c r="A1075" s="25">
        <f>IFERROR(__xludf.DUMMYFUNCTION("""COMPUTED_VALUE"""),45635.0)</f>
        <v>45635</v>
      </c>
      <c r="B1075" s="26">
        <f>IFERROR(__xludf.DUMMYFUNCTION("""COMPUTED_VALUE"""),121.91)</f>
        <v>121.91</v>
      </c>
      <c r="C1075" s="27">
        <f>IFERROR(__xludf.DUMMYFUNCTION("""COMPUTED_VALUE"""),96.45)</f>
        <v>96.45</v>
      </c>
      <c r="D1075" s="27">
        <f>IFERROR(__xludf.DUMMYFUNCTION("""COMPUTED_VALUE"""),151.0)</f>
        <v>151</v>
      </c>
      <c r="E1075" s="26">
        <f>IFERROR(__xludf.DUMMYFUNCTION("""COMPUTED_VALUE"""),150.09115788571427)</f>
        <v>150.0911579</v>
      </c>
      <c r="F1075" s="26">
        <f>IFERROR(__xludf.DUMMYFUNCTION("""COMPUTED_VALUE"""),126.72)</f>
        <v>126.72</v>
      </c>
      <c r="G1075" s="26"/>
    </row>
    <row r="1076">
      <c r="A1076" s="25">
        <f>IFERROR(__xludf.DUMMYFUNCTION("""COMPUTED_VALUE"""),45636.0)</f>
        <v>45636</v>
      </c>
      <c r="B1076" s="26">
        <f>IFERROR(__xludf.DUMMYFUNCTION("""COMPUTED_VALUE"""),121.91)</f>
        <v>121.91</v>
      </c>
      <c r="C1076" s="27">
        <f>IFERROR(__xludf.DUMMYFUNCTION("""COMPUTED_VALUE"""),96.45)</f>
        <v>96.45</v>
      </c>
      <c r="D1076" s="27">
        <f>IFERROR(__xludf.DUMMYFUNCTION("""COMPUTED_VALUE"""),151.0)</f>
        <v>151</v>
      </c>
      <c r="E1076" s="26">
        <f>IFERROR(__xludf.DUMMYFUNCTION("""COMPUTED_VALUE"""),149.7897204285714)</f>
        <v>149.7897204</v>
      </c>
      <c r="F1076" s="26">
        <f>IFERROR(__xludf.DUMMYFUNCTION("""COMPUTED_VALUE"""),126.54499999999999)</f>
        <v>126.545</v>
      </c>
      <c r="G1076" s="26"/>
    </row>
    <row r="1077">
      <c r="A1077" s="25">
        <f>IFERROR(__xludf.DUMMYFUNCTION("""COMPUTED_VALUE"""),45637.0)</f>
        <v>45637</v>
      </c>
      <c r="B1077" s="26">
        <f>IFERROR(__xludf.DUMMYFUNCTION("""COMPUTED_VALUE"""),121.91)</f>
        <v>121.91</v>
      </c>
      <c r="C1077" s="27">
        <f>IFERROR(__xludf.DUMMYFUNCTION("""COMPUTED_VALUE"""),96.45)</f>
        <v>96.45</v>
      </c>
      <c r="D1077" s="27">
        <f>IFERROR(__xludf.DUMMYFUNCTION("""COMPUTED_VALUE"""),151.0)</f>
        <v>151</v>
      </c>
      <c r="E1077" s="26">
        <f>IFERROR(__xludf.DUMMYFUNCTION("""COMPUTED_VALUE"""),152.1195869)</f>
        <v>152.1195869</v>
      </c>
      <c r="F1077" s="26">
        <f>IFERROR(__xludf.DUMMYFUNCTION("""COMPUTED_VALUE"""),126.36999999999999)</f>
        <v>126.37</v>
      </c>
      <c r="G1077" s="26"/>
    </row>
    <row r="1078">
      <c r="A1078" s="25">
        <f>IFERROR(__xludf.DUMMYFUNCTION("""COMPUTED_VALUE"""),45638.0)</f>
        <v>45638</v>
      </c>
      <c r="B1078" s="26">
        <f>IFERROR(__xludf.DUMMYFUNCTION("""COMPUTED_VALUE"""),121.91)</f>
        <v>121.91</v>
      </c>
      <c r="C1078" s="27">
        <f>IFERROR(__xludf.DUMMYFUNCTION("""COMPUTED_VALUE"""),96.45)</f>
        <v>96.45</v>
      </c>
      <c r="D1078" s="27">
        <f>IFERROR(__xludf.DUMMYFUNCTION("""COMPUTED_VALUE"""),151.0)</f>
        <v>151</v>
      </c>
      <c r="E1078" s="26">
        <f>IFERROR(__xludf.DUMMYFUNCTION("""COMPUTED_VALUE"""),156.45137592857142)</f>
        <v>156.4513759</v>
      </c>
      <c r="F1078" s="26">
        <f>IFERROR(__xludf.DUMMYFUNCTION("""COMPUTED_VALUE"""),126.19499999999998)</f>
        <v>126.195</v>
      </c>
      <c r="G1078" s="26"/>
    </row>
    <row r="1079">
      <c r="A1079" s="25">
        <f>IFERROR(__xludf.DUMMYFUNCTION("""COMPUTED_VALUE"""),45639.0)</f>
        <v>45639</v>
      </c>
      <c r="B1079" s="26">
        <f>IFERROR(__xludf.DUMMYFUNCTION("""COMPUTED_VALUE"""),121.91)</f>
        <v>121.91</v>
      </c>
      <c r="C1079" s="27">
        <f>IFERROR(__xludf.DUMMYFUNCTION("""COMPUTED_VALUE"""),96.45)</f>
        <v>96.45</v>
      </c>
      <c r="D1079" s="27">
        <f>IFERROR(__xludf.DUMMYFUNCTION("""COMPUTED_VALUE"""),151.0)</f>
        <v>151</v>
      </c>
      <c r="E1079" s="26">
        <f>IFERROR(__xludf.DUMMYFUNCTION("""COMPUTED_VALUE"""),161.27551599999998)</f>
        <v>161.275516</v>
      </c>
      <c r="F1079" s="26">
        <f>IFERROR(__xludf.DUMMYFUNCTION("""COMPUTED_VALUE"""),126.01999999999998)</f>
        <v>126.02</v>
      </c>
      <c r="G1079" s="26"/>
    </row>
    <row r="1080">
      <c r="A1080" s="25">
        <f>IFERROR(__xludf.DUMMYFUNCTION("""COMPUTED_VALUE"""),45640.0)</f>
        <v>45640</v>
      </c>
      <c r="B1080" s="26">
        <f>IFERROR(__xludf.DUMMYFUNCTION("""COMPUTED_VALUE"""),121.91)</f>
        <v>121.91</v>
      </c>
      <c r="C1080" s="27">
        <f>IFERROR(__xludf.DUMMYFUNCTION("""COMPUTED_VALUE"""),96.45)</f>
        <v>96.45</v>
      </c>
      <c r="D1080" s="27">
        <f>IFERROR(__xludf.DUMMYFUNCTION("""COMPUTED_VALUE"""),151.0)</f>
        <v>151</v>
      </c>
      <c r="E1080" s="26">
        <f>IFERROR(__xludf.DUMMYFUNCTION("""COMPUTED_VALUE"""),158.66306738571424)</f>
        <v>158.6630674</v>
      </c>
      <c r="F1080" s="26">
        <f>IFERROR(__xludf.DUMMYFUNCTION("""COMPUTED_VALUE"""),125.845)</f>
        <v>125.845</v>
      </c>
      <c r="G1080" s="26"/>
    </row>
    <row r="1081">
      <c r="A1081" s="25">
        <f>IFERROR(__xludf.DUMMYFUNCTION("""COMPUTED_VALUE"""),45641.0)</f>
        <v>45641</v>
      </c>
      <c r="B1081" s="26">
        <f>IFERROR(__xludf.DUMMYFUNCTION("""COMPUTED_VALUE"""),121.91)</f>
        <v>121.91</v>
      </c>
      <c r="C1081" s="27">
        <f>IFERROR(__xludf.DUMMYFUNCTION("""COMPUTED_VALUE"""),96.45)</f>
        <v>96.45</v>
      </c>
      <c r="D1081" s="27">
        <f>IFERROR(__xludf.DUMMYFUNCTION("""COMPUTED_VALUE"""),151.0)</f>
        <v>151</v>
      </c>
      <c r="E1081" s="26">
        <f>IFERROR(__xludf.DUMMYFUNCTION("""COMPUTED_VALUE"""),157.48458992857144)</f>
        <v>157.4845899</v>
      </c>
      <c r="F1081" s="26">
        <f>IFERROR(__xludf.DUMMYFUNCTION("""COMPUTED_VALUE"""),125.66999999999999)</f>
        <v>125.67</v>
      </c>
      <c r="G1081" s="26"/>
    </row>
    <row r="1082">
      <c r="A1082" s="25">
        <f>IFERROR(__xludf.DUMMYFUNCTION("""COMPUTED_VALUE"""),45642.0)</f>
        <v>45642</v>
      </c>
      <c r="B1082" s="26">
        <f>IFERROR(__xludf.DUMMYFUNCTION("""COMPUTED_VALUE"""),122.93)</f>
        <v>122.93</v>
      </c>
      <c r="C1082" s="27">
        <f>IFERROR(__xludf.DUMMYFUNCTION("""COMPUTED_VALUE"""),99.36)</f>
        <v>99.36</v>
      </c>
      <c r="D1082" s="27">
        <f>IFERROR(__xludf.DUMMYFUNCTION("""COMPUTED_VALUE"""),159.5)</f>
        <v>159.5</v>
      </c>
      <c r="E1082" s="26">
        <f>IFERROR(__xludf.DUMMYFUNCTION("""COMPUTED_VALUE"""),157.61715638571428)</f>
        <v>157.6171564</v>
      </c>
      <c r="F1082" s="26">
        <f>IFERROR(__xludf.DUMMYFUNCTION("""COMPUTED_VALUE"""),125.66999999999999)</f>
        <v>125.67</v>
      </c>
      <c r="G1082" s="26"/>
    </row>
    <row r="1083">
      <c r="A1083" s="25">
        <f>IFERROR(__xludf.DUMMYFUNCTION("""COMPUTED_VALUE"""),45643.0)</f>
        <v>45643</v>
      </c>
      <c r="B1083" s="26">
        <f>IFERROR(__xludf.DUMMYFUNCTION("""COMPUTED_VALUE"""),122.93)</f>
        <v>122.93</v>
      </c>
      <c r="C1083" s="27">
        <f>IFERROR(__xludf.DUMMYFUNCTION("""COMPUTED_VALUE"""),99.36)</f>
        <v>99.36</v>
      </c>
      <c r="D1083" s="27">
        <f>IFERROR(__xludf.DUMMYFUNCTION("""COMPUTED_VALUE"""),159.5)</f>
        <v>159.5</v>
      </c>
      <c r="E1083" s="26">
        <f>IFERROR(__xludf.DUMMYFUNCTION("""COMPUTED_VALUE"""),154.24011358571425)</f>
        <v>154.2401136</v>
      </c>
      <c r="F1083" s="26">
        <f>IFERROR(__xludf.DUMMYFUNCTION("""COMPUTED_VALUE"""),125.66999999999999)</f>
        <v>125.67</v>
      </c>
      <c r="G1083" s="26"/>
    </row>
    <row r="1084">
      <c r="A1084" s="25">
        <f>IFERROR(__xludf.DUMMYFUNCTION("""COMPUTED_VALUE"""),45644.0)</f>
        <v>45644</v>
      </c>
      <c r="B1084" s="26">
        <f>IFERROR(__xludf.DUMMYFUNCTION("""COMPUTED_VALUE"""),122.93)</f>
        <v>122.93</v>
      </c>
      <c r="C1084" s="27">
        <f>IFERROR(__xludf.DUMMYFUNCTION("""COMPUTED_VALUE"""),99.36)</f>
        <v>99.36</v>
      </c>
      <c r="D1084" s="27">
        <f>IFERROR(__xludf.DUMMYFUNCTION("""COMPUTED_VALUE"""),159.5)</f>
        <v>159.5</v>
      </c>
      <c r="E1084" s="26">
        <f>IFERROR(__xludf.DUMMYFUNCTION("""COMPUTED_VALUE"""),145.91823984285716)</f>
        <v>145.9182398</v>
      </c>
      <c r="F1084" s="26">
        <f>IFERROR(__xludf.DUMMYFUNCTION("""COMPUTED_VALUE"""),125.49357142857141)</f>
        <v>125.4935714</v>
      </c>
      <c r="G1084" s="26"/>
    </row>
    <row r="1085">
      <c r="A1085" s="25">
        <f>IFERROR(__xludf.DUMMYFUNCTION("""COMPUTED_VALUE"""),45645.0)</f>
        <v>45645</v>
      </c>
      <c r="B1085" s="26">
        <f>IFERROR(__xludf.DUMMYFUNCTION("""COMPUTED_VALUE"""),122.93)</f>
        <v>122.93</v>
      </c>
      <c r="C1085" s="27">
        <f>IFERROR(__xludf.DUMMYFUNCTION("""COMPUTED_VALUE"""),99.36)</f>
        <v>99.36</v>
      </c>
      <c r="D1085" s="27">
        <f>IFERROR(__xludf.DUMMYFUNCTION("""COMPUTED_VALUE"""),159.5)</f>
        <v>159.5</v>
      </c>
      <c r="E1085" s="26">
        <f>IFERROR(__xludf.DUMMYFUNCTION("""COMPUTED_VALUE"""),137.37713834285714)</f>
        <v>137.3771383</v>
      </c>
      <c r="F1085" s="26">
        <f>IFERROR(__xludf.DUMMYFUNCTION("""COMPUTED_VALUE"""),125.31714285714285)</f>
        <v>125.3171429</v>
      </c>
      <c r="G1085" s="26"/>
    </row>
    <row r="1086">
      <c r="A1086" s="25">
        <f>IFERROR(__xludf.DUMMYFUNCTION("""COMPUTED_VALUE"""),45646.0)</f>
        <v>45646</v>
      </c>
      <c r="B1086" s="26">
        <f>IFERROR(__xludf.DUMMYFUNCTION("""COMPUTED_VALUE"""),122.93)</f>
        <v>122.93</v>
      </c>
      <c r="C1086" s="27">
        <f>IFERROR(__xludf.DUMMYFUNCTION("""COMPUTED_VALUE"""),99.36)</f>
        <v>99.36</v>
      </c>
      <c r="D1086" s="27">
        <f>IFERROR(__xludf.DUMMYFUNCTION("""COMPUTED_VALUE"""),159.5)</f>
        <v>159.5</v>
      </c>
      <c r="E1086" s="26">
        <f>IFERROR(__xludf.DUMMYFUNCTION("""COMPUTED_VALUE"""),128.2498073)</f>
        <v>128.2498073</v>
      </c>
      <c r="F1086" s="26">
        <f>IFERROR(__xludf.DUMMYFUNCTION("""COMPUTED_VALUE"""),125.14071428571427)</f>
        <v>125.1407143</v>
      </c>
      <c r="G1086" s="26"/>
    </row>
    <row r="1087">
      <c r="A1087" s="25">
        <f>IFERROR(__xludf.DUMMYFUNCTION("""COMPUTED_VALUE"""),45647.0)</f>
        <v>45647</v>
      </c>
      <c r="B1087" s="26">
        <f>IFERROR(__xludf.DUMMYFUNCTION("""COMPUTED_VALUE"""),122.93)</f>
        <v>122.93</v>
      </c>
      <c r="C1087" s="27">
        <f>IFERROR(__xludf.DUMMYFUNCTION("""COMPUTED_VALUE"""),99.36)</f>
        <v>99.36</v>
      </c>
      <c r="D1087" s="27">
        <f>IFERROR(__xludf.DUMMYFUNCTION("""COMPUTED_VALUE"""),159.5)</f>
        <v>159.5</v>
      </c>
      <c r="E1087" s="26">
        <f>IFERROR(__xludf.DUMMYFUNCTION("""COMPUTED_VALUE"""),124.87801425714285)</f>
        <v>124.8780143</v>
      </c>
      <c r="F1087" s="26">
        <f>IFERROR(__xludf.DUMMYFUNCTION("""COMPUTED_VALUE"""),124.96428571428571)</f>
        <v>124.9642857</v>
      </c>
      <c r="G1087" s="26"/>
    </row>
    <row r="1088">
      <c r="A1088" s="25">
        <f>IFERROR(__xludf.DUMMYFUNCTION("""COMPUTED_VALUE"""),45648.0)</f>
        <v>45648</v>
      </c>
      <c r="B1088" s="26">
        <f>IFERROR(__xludf.DUMMYFUNCTION("""COMPUTED_VALUE"""),122.93)</f>
        <v>122.93</v>
      </c>
      <c r="C1088" s="27">
        <f>IFERROR(__xludf.DUMMYFUNCTION("""COMPUTED_VALUE"""),99.36)</f>
        <v>99.36</v>
      </c>
      <c r="D1088" s="27">
        <f>IFERROR(__xludf.DUMMYFUNCTION("""COMPUTED_VALUE"""),159.5)</f>
        <v>159.5</v>
      </c>
      <c r="E1088" s="26">
        <f>IFERROR(__xludf.DUMMYFUNCTION("""COMPUTED_VALUE"""),123.48541518571429)</f>
        <v>123.4854152</v>
      </c>
      <c r="F1088" s="26">
        <f>IFERROR(__xludf.DUMMYFUNCTION("""COMPUTED_VALUE"""),124.78785714285712)</f>
        <v>124.7878571</v>
      </c>
      <c r="G1088" s="26"/>
    </row>
    <row r="1089">
      <c r="A1089" s="25">
        <f>IFERROR(__xludf.DUMMYFUNCTION("""COMPUTED_VALUE"""),45649.0)</f>
        <v>45649</v>
      </c>
      <c r="B1089" s="26">
        <f>IFERROR(__xludf.DUMMYFUNCTION("""COMPUTED_VALUE"""),122.93)</f>
        <v>122.93</v>
      </c>
      <c r="C1089" s="27">
        <f>IFERROR(__xludf.DUMMYFUNCTION("""COMPUTED_VALUE"""),99.36)</f>
        <v>99.36</v>
      </c>
      <c r="D1089" s="27">
        <f>IFERROR(__xludf.DUMMYFUNCTION("""COMPUTED_VALUE"""),159.5)</f>
        <v>159.5</v>
      </c>
      <c r="E1089" s="26">
        <f>IFERROR(__xludf.DUMMYFUNCTION("""COMPUTED_VALUE"""),117.83883347428572)</f>
        <v>117.8388335</v>
      </c>
      <c r="F1089" s="26">
        <f>IFERROR(__xludf.DUMMYFUNCTION("""COMPUTED_VALUE"""),124.44303571428573)</f>
        <v>124.4430357</v>
      </c>
      <c r="G1089" s="26"/>
    </row>
    <row r="1090">
      <c r="A1090" s="25">
        <f>IFERROR(__xludf.DUMMYFUNCTION("""COMPUTED_VALUE"""),45650.0)</f>
        <v>45650</v>
      </c>
      <c r="B1090" s="26">
        <f>IFERROR(__xludf.DUMMYFUNCTION("""COMPUTED_VALUE"""),122.93)</f>
        <v>122.93</v>
      </c>
      <c r="C1090" s="27">
        <f>IFERROR(__xludf.DUMMYFUNCTION("""COMPUTED_VALUE"""),99.36)</f>
        <v>99.36</v>
      </c>
      <c r="D1090" s="27">
        <f>IFERROR(__xludf.DUMMYFUNCTION("""COMPUTED_VALUE"""),159.5)</f>
        <v>159.5</v>
      </c>
      <c r="E1090" s="26">
        <f>IFERROR(__xludf.DUMMYFUNCTION("""COMPUTED_VALUE"""),116.53871526)</f>
        <v>116.5387153</v>
      </c>
      <c r="F1090" s="26">
        <f>IFERROR(__xludf.DUMMYFUNCTION("""COMPUTED_VALUE"""),124.09821428571429)</f>
        <v>124.0982143</v>
      </c>
      <c r="G1090" s="26"/>
    </row>
    <row r="1091">
      <c r="A1091" s="25">
        <f>IFERROR(__xludf.DUMMYFUNCTION("""COMPUTED_VALUE"""),45651.0)</f>
        <v>45651</v>
      </c>
      <c r="B1091" s="26">
        <f>IFERROR(__xludf.DUMMYFUNCTION("""COMPUTED_VALUE"""),122.93)</f>
        <v>122.93</v>
      </c>
      <c r="C1091" s="27">
        <f>IFERROR(__xludf.DUMMYFUNCTION("""COMPUTED_VALUE"""),99.36)</f>
        <v>99.36</v>
      </c>
      <c r="D1091" s="27">
        <f>IFERROR(__xludf.DUMMYFUNCTION("""COMPUTED_VALUE"""),159.5)</f>
        <v>159.5</v>
      </c>
      <c r="E1091" s="26">
        <f>IFERROR(__xludf.DUMMYFUNCTION("""COMPUTED_VALUE"""),113.46378798857144)</f>
        <v>113.463788</v>
      </c>
      <c r="F1091" s="26">
        <f>IFERROR(__xludf.DUMMYFUNCTION("""COMPUTED_VALUE"""),123.92982142857144)</f>
        <v>123.9298214</v>
      </c>
      <c r="G1091" s="26"/>
    </row>
    <row r="1092">
      <c r="A1092" s="25">
        <f>IFERROR(__xludf.DUMMYFUNCTION("""COMPUTED_VALUE"""),45652.0)</f>
        <v>45652</v>
      </c>
      <c r="B1092" s="26">
        <f>IFERROR(__xludf.DUMMYFUNCTION("""COMPUTED_VALUE"""),122.93)</f>
        <v>122.93</v>
      </c>
      <c r="C1092" s="27">
        <f>IFERROR(__xludf.DUMMYFUNCTION("""COMPUTED_VALUE"""),99.36)</f>
        <v>99.36</v>
      </c>
      <c r="D1092" s="27">
        <f>IFERROR(__xludf.DUMMYFUNCTION("""COMPUTED_VALUE"""),159.5)</f>
        <v>159.5</v>
      </c>
      <c r="E1092" s="26">
        <f>IFERROR(__xludf.DUMMYFUNCTION("""COMPUTED_VALUE"""),113.34370288857143)</f>
        <v>113.3437029</v>
      </c>
      <c r="F1092" s="26">
        <f>IFERROR(__xludf.DUMMYFUNCTION("""COMPUTED_VALUE"""),123.76142857142858)</f>
        <v>123.7614286</v>
      </c>
      <c r="G1092" s="26"/>
    </row>
    <row r="1093">
      <c r="A1093" s="25">
        <f>IFERROR(__xludf.DUMMYFUNCTION("""COMPUTED_VALUE"""),45653.0)</f>
        <v>45653</v>
      </c>
      <c r="B1093" s="26">
        <f>IFERROR(__xludf.DUMMYFUNCTION("""COMPUTED_VALUE"""),122.93)</f>
        <v>122.93</v>
      </c>
      <c r="C1093" s="27">
        <f>IFERROR(__xludf.DUMMYFUNCTION("""COMPUTED_VALUE"""),99.36)</f>
        <v>99.36</v>
      </c>
      <c r="D1093" s="27">
        <f>IFERROR(__xludf.DUMMYFUNCTION("""COMPUTED_VALUE"""),159.5)</f>
        <v>159.5</v>
      </c>
      <c r="E1093" s="26">
        <f>IFERROR(__xludf.DUMMYFUNCTION("""COMPUTED_VALUE"""),115.78882958857142)</f>
        <v>115.7888296</v>
      </c>
      <c r="F1093" s="26">
        <f>IFERROR(__xludf.DUMMYFUNCTION("""COMPUTED_VALUE"""),123.59303571428573)</f>
        <v>123.5930357</v>
      </c>
      <c r="G1093" s="26"/>
    </row>
    <row r="1094">
      <c r="A1094" s="25">
        <f>IFERROR(__xludf.DUMMYFUNCTION("""COMPUTED_VALUE"""),45654.0)</f>
        <v>45654</v>
      </c>
      <c r="B1094" s="26">
        <f>IFERROR(__xludf.DUMMYFUNCTION("""COMPUTED_VALUE"""),122.93)</f>
        <v>122.93</v>
      </c>
      <c r="C1094" s="27">
        <f>IFERROR(__xludf.DUMMYFUNCTION("""COMPUTED_VALUE"""),99.36)</f>
        <v>99.36</v>
      </c>
      <c r="D1094" s="27">
        <f>IFERROR(__xludf.DUMMYFUNCTION("""COMPUTED_VALUE"""),159.5)</f>
        <v>159.5</v>
      </c>
      <c r="E1094" s="26">
        <f>IFERROR(__xludf.DUMMYFUNCTION("""COMPUTED_VALUE"""),119.82950351714284)</f>
        <v>119.8295035</v>
      </c>
      <c r="F1094" s="26">
        <f>IFERROR(__xludf.DUMMYFUNCTION("""COMPUTED_VALUE"""),123.42464285714287)</f>
        <v>123.4246429</v>
      </c>
      <c r="G1094" s="26"/>
    </row>
    <row r="1095">
      <c r="A1095" s="25">
        <f>IFERROR(__xludf.DUMMYFUNCTION("""COMPUTED_VALUE"""),45655.0)</f>
        <v>45655</v>
      </c>
      <c r="B1095" s="26">
        <f>IFERROR(__xludf.DUMMYFUNCTION("""COMPUTED_VALUE"""),122.93)</f>
        <v>122.93</v>
      </c>
      <c r="C1095" s="27">
        <f>IFERROR(__xludf.DUMMYFUNCTION("""COMPUTED_VALUE"""),99.36)</f>
        <v>99.36</v>
      </c>
      <c r="D1095" s="27">
        <f>IFERROR(__xludf.DUMMYFUNCTION("""COMPUTED_VALUE"""),159.5)</f>
        <v>159.5</v>
      </c>
      <c r="E1095" s="26">
        <f>IFERROR(__xludf.DUMMYFUNCTION("""COMPUTED_VALUE"""),124.67022771714288)</f>
        <v>124.6702277</v>
      </c>
      <c r="F1095" s="26">
        <f>IFERROR(__xludf.DUMMYFUNCTION("""COMPUTED_VALUE"""),123.25625000000001)</f>
        <v>123.25625</v>
      </c>
      <c r="G1095" s="26"/>
    </row>
    <row r="1096">
      <c r="A1096" s="25">
        <f>IFERROR(__xludf.DUMMYFUNCTION("""COMPUTED_VALUE"""),45656.0)</f>
        <v>45656</v>
      </c>
      <c r="B1096" s="26">
        <f>IFERROR(__xludf.DUMMYFUNCTION("""COMPUTED_VALUE"""),122.93)</f>
        <v>122.93</v>
      </c>
      <c r="C1096" s="27">
        <f>IFERROR(__xludf.DUMMYFUNCTION("""COMPUTED_VALUE"""),99.36)</f>
        <v>99.36</v>
      </c>
      <c r="D1096" s="27">
        <f>IFERROR(__xludf.DUMMYFUNCTION("""COMPUTED_VALUE"""),159.5)</f>
        <v>159.5</v>
      </c>
      <c r="E1096" s="26">
        <f>IFERROR(__xludf.DUMMYFUNCTION("""COMPUTED_VALUE"""),132.0342194)</f>
        <v>132.0342194</v>
      </c>
      <c r="F1096" s="26">
        <f>IFERROR(__xludf.DUMMYFUNCTION("""COMPUTED_VALUE"""),123.08678571428572)</f>
        <v>123.0867857</v>
      </c>
      <c r="G1096" s="26"/>
    </row>
    <row r="1097">
      <c r="A1097" s="25">
        <f>IFERROR(__xludf.DUMMYFUNCTION("""COMPUTED_VALUE"""),45657.0)</f>
        <v>45657</v>
      </c>
      <c r="B1097" s="26">
        <f>IFERROR(__xludf.DUMMYFUNCTION("""COMPUTED_VALUE"""),122.93)</f>
        <v>122.93</v>
      </c>
      <c r="C1097" s="27">
        <f>IFERROR(__xludf.DUMMYFUNCTION("""COMPUTED_VALUE"""),99.36)</f>
        <v>99.36</v>
      </c>
      <c r="D1097" s="27">
        <f>IFERROR(__xludf.DUMMYFUNCTION("""COMPUTED_VALUE"""),159.5)</f>
        <v>159.5</v>
      </c>
      <c r="E1097" s="26">
        <f>IFERROR(__xludf.DUMMYFUNCTION("""COMPUTED_VALUE"""),133.43884525714287)</f>
        <v>133.4388453</v>
      </c>
      <c r="F1097" s="26">
        <f>IFERROR(__xludf.DUMMYFUNCTION("""COMPUTED_VALUE"""),122.91732142857141)</f>
        <v>122.9173214</v>
      </c>
      <c r="G1097" s="26"/>
    </row>
    <row r="1098">
      <c r="A1098" s="25">
        <f>IFERROR(__xludf.DUMMYFUNCTION("""COMPUTED_VALUE"""),45658.0)</f>
        <v>45658</v>
      </c>
      <c r="B1098" s="26">
        <f>IFERROR(__xludf.DUMMYFUNCTION("""COMPUTED_VALUE"""),122.93)</f>
        <v>122.93</v>
      </c>
      <c r="C1098" s="27">
        <f>IFERROR(__xludf.DUMMYFUNCTION("""COMPUTED_VALUE"""),99.36)</f>
        <v>99.36</v>
      </c>
      <c r="D1098" s="27">
        <f>IFERROR(__xludf.DUMMYFUNCTION("""COMPUTED_VALUE"""),159.5)</f>
        <v>159.5</v>
      </c>
      <c r="E1098" s="26">
        <f>IFERROR(__xludf.DUMMYFUNCTION("""COMPUTED_VALUE"""),137.94344034285714)</f>
        <v>137.9434403</v>
      </c>
      <c r="F1098" s="26">
        <f>IFERROR(__xludf.DUMMYFUNCTION("""COMPUTED_VALUE"""),122.74785714285713)</f>
        <v>122.7478571</v>
      </c>
      <c r="G1098" s="26"/>
    </row>
    <row r="1099">
      <c r="A1099" s="25">
        <f>IFERROR(__xludf.DUMMYFUNCTION("""COMPUTED_VALUE"""),45659.0)</f>
        <v>45659</v>
      </c>
      <c r="B1099" s="26">
        <f>IFERROR(__xludf.DUMMYFUNCTION("""COMPUTED_VALUE"""),122.93)</f>
        <v>122.93</v>
      </c>
      <c r="C1099" s="27">
        <f>IFERROR(__xludf.DUMMYFUNCTION("""COMPUTED_VALUE"""),99.36)</f>
        <v>99.36</v>
      </c>
      <c r="D1099" s="27">
        <f>IFERROR(__xludf.DUMMYFUNCTION("""COMPUTED_VALUE"""),159.5)</f>
        <v>159.5</v>
      </c>
      <c r="E1099" s="26">
        <f>IFERROR(__xludf.DUMMYFUNCTION("""COMPUTED_VALUE"""),140.86570584285712)</f>
        <v>140.8657058</v>
      </c>
      <c r="F1099" s="26">
        <f>IFERROR(__xludf.DUMMYFUNCTION("""COMPUTED_VALUE"""),122.57839285714284)</f>
        <v>122.5783929</v>
      </c>
      <c r="G1099" s="26"/>
    </row>
    <row r="1100">
      <c r="A1100" s="25">
        <f>IFERROR(__xludf.DUMMYFUNCTION("""COMPUTED_VALUE"""),45660.0)</f>
        <v>45660</v>
      </c>
      <c r="B1100" s="26">
        <f>IFERROR(__xludf.DUMMYFUNCTION("""COMPUTED_VALUE"""),122.93)</f>
        <v>122.93</v>
      </c>
      <c r="C1100" s="27">
        <f>IFERROR(__xludf.DUMMYFUNCTION("""COMPUTED_VALUE"""),99.36)</f>
        <v>99.36</v>
      </c>
      <c r="D1100" s="27">
        <f>IFERROR(__xludf.DUMMYFUNCTION("""COMPUTED_VALUE"""),159.5)</f>
        <v>159.5</v>
      </c>
      <c r="E1100" s="26">
        <f>IFERROR(__xludf.DUMMYFUNCTION("""COMPUTED_VALUE"""),139.90625345714287)</f>
        <v>139.9062535</v>
      </c>
      <c r="F1100" s="26">
        <f>IFERROR(__xludf.DUMMYFUNCTION("""COMPUTED_VALUE"""),122.40892857142856)</f>
        <v>122.4089286</v>
      </c>
      <c r="G1100" s="26"/>
    </row>
    <row r="1101">
      <c r="A1101" s="25">
        <f>IFERROR(__xludf.DUMMYFUNCTION("""COMPUTED_VALUE"""),45661.0)</f>
        <v>45661</v>
      </c>
      <c r="B1101" s="26">
        <f>IFERROR(__xludf.DUMMYFUNCTION("""COMPUTED_VALUE"""),122.93)</f>
        <v>122.93</v>
      </c>
      <c r="C1101" s="27">
        <f>IFERROR(__xludf.DUMMYFUNCTION("""COMPUTED_VALUE"""),99.36)</f>
        <v>99.36</v>
      </c>
      <c r="D1101" s="27">
        <f>IFERROR(__xludf.DUMMYFUNCTION("""COMPUTED_VALUE"""),159.5)</f>
        <v>159.5</v>
      </c>
      <c r="E1101" s="26">
        <f>IFERROR(__xludf.DUMMYFUNCTION("""COMPUTED_VALUE"""),142.48431914285715)</f>
        <v>142.4843191</v>
      </c>
      <c r="F1101" s="26">
        <f>IFERROR(__xludf.DUMMYFUNCTION("""COMPUTED_VALUE"""),122.23946428571428)</f>
        <v>122.2394643</v>
      </c>
      <c r="G1101" s="26"/>
    </row>
    <row r="1102">
      <c r="A1102" s="25">
        <f>IFERROR(__xludf.DUMMYFUNCTION("""COMPUTED_VALUE"""),45662.0)</f>
        <v>45662</v>
      </c>
      <c r="B1102" s="26">
        <f>IFERROR(__xludf.DUMMYFUNCTION("""COMPUTED_VALUE"""),122.93)</f>
        <v>122.93</v>
      </c>
      <c r="C1102" s="27">
        <f>IFERROR(__xludf.DUMMYFUNCTION("""COMPUTED_VALUE"""),99.36)</f>
        <v>99.36</v>
      </c>
      <c r="D1102" s="27">
        <f>IFERROR(__xludf.DUMMYFUNCTION("""COMPUTED_VALUE"""),159.5)</f>
        <v>159.5</v>
      </c>
      <c r="E1102" s="26">
        <f>IFERROR(__xludf.DUMMYFUNCTION("""COMPUTED_VALUE"""),142.38180972857143)</f>
        <v>142.3818097</v>
      </c>
      <c r="F1102" s="26">
        <f>IFERROR(__xludf.DUMMYFUNCTION("""COMPUTED_VALUE"""),122.06999999999996)</f>
        <v>122.07</v>
      </c>
      <c r="G1102" s="26"/>
    </row>
    <row r="1103">
      <c r="A1103" s="25">
        <f>IFERROR(__xludf.DUMMYFUNCTION("""COMPUTED_VALUE"""),45663.0)</f>
        <v>45663</v>
      </c>
      <c r="B1103" s="26">
        <f>IFERROR(__xludf.DUMMYFUNCTION("""COMPUTED_VALUE"""),122.93)</f>
        <v>122.93</v>
      </c>
      <c r="C1103" s="27">
        <f>IFERROR(__xludf.DUMMYFUNCTION("""COMPUTED_VALUE"""),99.36)</f>
        <v>99.36</v>
      </c>
      <c r="D1103" s="27">
        <f>IFERROR(__xludf.DUMMYFUNCTION("""COMPUTED_VALUE"""),159.5)</f>
        <v>159.5</v>
      </c>
      <c r="E1103" s="26">
        <f>IFERROR(__xludf.DUMMYFUNCTION("""COMPUTED_VALUE"""),140.5954477285714)</f>
        <v>140.5954477</v>
      </c>
      <c r="F1103" s="26">
        <f>IFERROR(__xludf.DUMMYFUNCTION("""COMPUTED_VALUE"""),122.06999999999996)</f>
        <v>122.07</v>
      </c>
      <c r="G1103" s="26"/>
    </row>
    <row r="1104">
      <c r="A1104" s="25">
        <f>IFERROR(__xludf.DUMMYFUNCTION("""COMPUTED_VALUE"""),45664.0)</f>
        <v>45664</v>
      </c>
      <c r="B1104" s="26">
        <f>IFERROR(__xludf.DUMMYFUNCTION("""COMPUTED_VALUE"""),122.93)</f>
        <v>122.93</v>
      </c>
      <c r="C1104" s="27">
        <f>IFERROR(__xludf.DUMMYFUNCTION("""COMPUTED_VALUE"""),99.36)</f>
        <v>99.36</v>
      </c>
      <c r="D1104" s="27">
        <f>IFERROR(__xludf.DUMMYFUNCTION("""COMPUTED_VALUE"""),159.5)</f>
        <v>159.5</v>
      </c>
      <c r="E1104" s="26">
        <f>IFERROR(__xludf.DUMMYFUNCTION("""COMPUTED_VALUE"""),141.67440087142856)</f>
        <v>141.6744009</v>
      </c>
      <c r="F1104" s="26">
        <f>IFERROR(__xludf.DUMMYFUNCTION("""COMPUTED_VALUE"""),122.06999999999996)</f>
        <v>122.07</v>
      </c>
      <c r="G1104" s="26"/>
    </row>
    <row r="1105">
      <c r="A1105" s="25">
        <f>IFERROR(__xludf.DUMMYFUNCTION("""COMPUTED_VALUE"""),45665.0)</f>
        <v>45665</v>
      </c>
      <c r="B1105" s="26">
        <f>IFERROR(__xludf.DUMMYFUNCTION("""COMPUTED_VALUE"""),122.93)</f>
        <v>122.93</v>
      </c>
      <c r="C1105" s="27">
        <f>IFERROR(__xludf.DUMMYFUNCTION("""COMPUTED_VALUE"""),99.36)</f>
        <v>99.36</v>
      </c>
      <c r="D1105" s="27">
        <f>IFERROR(__xludf.DUMMYFUNCTION("""COMPUTED_VALUE"""),159.5)</f>
        <v>159.5</v>
      </c>
      <c r="E1105" s="26">
        <f>IFERROR(__xludf.DUMMYFUNCTION("""COMPUTED_VALUE"""),140.7993025857143)</f>
        <v>140.7993026</v>
      </c>
      <c r="F1105" s="26">
        <f>IFERROR(__xludf.DUMMYFUNCTION("""COMPUTED_VALUE"""),122.06999999999996)</f>
        <v>122.07</v>
      </c>
      <c r="G1105" s="26"/>
    </row>
    <row r="1106">
      <c r="A1106" s="25">
        <f>IFERROR(__xludf.DUMMYFUNCTION("""COMPUTED_VALUE"""),45666.0)</f>
        <v>45666</v>
      </c>
      <c r="B1106" s="26">
        <f>IFERROR(__xludf.DUMMYFUNCTION("""COMPUTED_VALUE"""),122.93)</f>
        <v>122.93</v>
      </c>
      <c r="C1106" s="27">
        <f>IFERROR(__xludf.DUMMYFUNCTION("""COMPUTED_VALUE"""),99.36)</f>
        <v>99.36</v>
      </c>
      <c r="D1106" s="27">
        <f>IFERROR(__xludf.DUMMYFUNCTION("""COMPUTED_VALUE"""),159.5)</f>
        <v>159.5</v>
      </c>
      <c r="E1106" s="26">
        <f>IFERROR(__xludf.DUMMYFUNCTION("""COMPUTED_VALUE"""),140.09124271428573)</f>
        <v>140.0912427</v>
      </c>
      <c r="F1106" s="26">
        <f>IFERROR(__xludf.DUMMYFUNCTION("""COMPUTED_VALUE"""),122.06999999999996)</f>
        <v>122.07</v>
      </c>
      <c r="G1106" s="26"/>
    </row>
    <row r="1107">
      <c r="A1107" s="25">
        <f>IFERROR(__xludf.DUMMYFUNCTION("""COMPUTED_VALUE"""),45667.0)</f>
        <v>45667</v>
      </c>
      <c r="B1107" s="26">
        <f>IFERROR(__xludf.DUMMYFUNCTION("""COMPUTED_VALUE"""),122.93)</f>
        <v>122.93</v>
      </c>
      <c r="C1107" s="27">
        <f>IFERROR(__xludf.DUMMYFUNCTION("""COMPUTED_VALUE"""),99.36)</f>
        <v>99.36</v>
      </c>
      <c r="D1107" s="27">
        <f>IFERROR(__xludf.DUMMYFUNCTION("""COMPUTED_VALUE"""),159.5)</f>
        <v>159.5</v>
      </c>
      <c r="E1107" s="26">
        <f>IFERROR(__xludf.DUMMYFUNCTION("""COMPUTED_VALUE"""),140.70585221428573)</f>
        <v>140.7058522</v>
      </c>
      <c r="F1107" s="26">
        <f>IFERROR(__xludf.DUMMYFUNCTION("""COMPUTED_VALUE"""),122.06999999999996)</f>
        <v>122.07</v>
      </c>
      <c r="G1107" s="26"/>
    </row>
    <row r="1108">
      <c r="A1108" s="25">
        <f>IFERROR(__xludf.DUMMYFUNCTION("""COMPUTED_VALUE"""),45668.0)</f>
        <v>45668</v>
      </c>
      <c r="B1108" s="26">
        <f>IFERROR(__xludf.DUMMYFUNCTION("""COMPUTED_VALUE"""),122.93)</f>
        <v>122.93</v>
      </c>
      <c r="C1108" s="27">
        <f>IFERROR(__xludf.DUMMYFUNCTION("""COMPUTED_VALUE"""),99.36)</f>
        <v>99.36</v>
      </c>
      <c r="D1108" s="27">
        <f>IFERROR(__xludf.DUMMYFUNCTION("""COMPUTED_VALUE"""),159.5)</f>
        <v>159.5</v>
      </c>
      <c r="E1108" s="26">
        <f>IFERROR(__xludf.DUMMYFUNCTION("""COMPUTED_VALUE"""),137.82682255714286)</f>
        <v>137.8268226</v>
      </c>
      <c r="F1108" s="26">
        <f>IFERROR(__xludf.DUMMYFUNCTION("""COMPUTED_VALUE"""),122.06999999999996)</f>
        <v>122.07</v>
      </c>
      <c r="G1108" s="26"/>
    </row>
    <row r="1109">
      <c r="A1109" s="25">
        <f>IFERROR(__xludf.DUMMYFUNCTION("""COMPUTED_VALUE"""),45669.0)</f>
        <v>45669</v>
      </c>
      <c r="B1109" s="26">
        <f>IFERROR(__xludf.DUMMYFUNCTION("""COMPUTED_VALUE"""),122.93)</f>
        <v>122.93</v>
      </c>
      <c r="C1109" s="27">
        <f>IFERROR(__xludf.DUMMYFUNCTION("""COMPUTED_VALUE"""),99.36)</f>
        <v>99.36</v>
      </c>
      <c r="D1109" s="27">
        <f>IFERROR(__xludf.DUMMYFUNCTION("""COMPUTED_VALUE"""),159.5)</f>
        <v>159.5</v>
      </c>
      <c r="E1109" s="26">
        <f>IFERROR(__xludf.DUMMYFUNCTION("""COMPUTED_VALUE"""),133.56188085714285)</f>
        <v>133.5618809</v>
      </c>
      <c r="F1109" s="26">
        <f>IFERROR(__xludf.DUMMYFUNCTION("""COMPUTED_VALUE"""),122.06999999999996)</f>
        <v>122.07</v>
      </c>
      <c r="G1109" s="26"/>
    </row>
    <row r="1110">
      <c r="A1110" s="25">
        <f>IFERROR(__xludf.DUMMYFUNCTION("""COMPUTED_VALUE"""),45670.0)</f>
        <v>45670</v>
      </c>
      <c r="B1110" s="26">
        <f>IFERROR(__xludf.DUMMYFUNCTION("""COMPUTED_VALUE"""),122.93)</f>
        <v>122.93</v>
      </c>
      <c r="C1110" s="27">
        <f>IFERROR(__xludf.DUMMYFUNCTION("""COMPUTED_VALUE"""),99.36)</f>
        <v>99.36</v>
      </c>
      <c r="D1110" s="27">
        <f>IFERROR(__xludf.DUMMYFUNCTION("""COMPUTED_VALUE"""),159.5)</f>
        <v>159.5</v>
      </c>
      <c r="E1110" s="26">
        <f>IFERROR(__xludf.DUMMYFUNCTION("""COMPUTED_VALUE"""),133.7757171)</f>
        <v>133.7757171</v>
      </c>
      <c r="F1110" s="26">
        <f>IFERROR(__xludf.DUMMYFUNCTION("""COMPUTED_VALUE"""),122.06999999999996)</f>
        <v>122.07</v>
      </c>
      <c r="G1110" s="26"/>
    </row>
    <row r="1111">
      <c r="A1111" s="25">
        <f>IFERROR(__xludf.DUMMYFUNCTION("""COMPUTED_VALUE"""),45671.0)</f>
        <v>45671</v>
      </c>
      <c r="B1111" s="26">
        <f>IFERROR(__xludf.DUMMYFUNCTION("""COMPUTED_VALUE"""),122.93)</f>
        <v>122.93</v>
      </c>
      <c r="C1111" s="27">
        <f>IFERROR(__xludf.DUMMYFUNCTION("""COMPUTED_VALUE"""),99.36)</f>
        <v>99.36</v>
      </c>
      <c r="D1111" s="27">
        <f>IFERROR(__xludf.DUMMYFUNCTION("""COMPUTED_VALUE"""),159.5)</f>
        <v>159.5</v>
      </c>
      <c r="E1111" s="26">
        <f>IFERROR(__xludf.DUMMYFUNCTION("""COMPUTED_VALUE"""),133.5696211)</f>
        <v>133.5696211</v>
      </c>
      <c r="F1111" s="26">
        <f>IFERROR(__xludf.DUMMYFUNCTION("""COMPUTED_VALUE"""),122.06999999999996)</f>
        <v>122.07</v>
      </c>
      <c r="G1111" s="26"/>
    </row>
    <row r="1112">
      <c r="A1112" s="25">
        <f>IFERROR(__xludf.DUMMYFUNCTION("""COMPUTED_VALUE"""),45672.0)</f>
        <v>45672</v>
      </c>
      <c r="B1112" s="26">
        <f>IFERROR(__xludf.DUMMYFUNCTION("""COMPUTED_VALUE"""),122.93)</f>
        <v>122.93</v>
      </c>
      <c r="C1112" s="27">
        <f>IFERROR(__xludf.DUMMYFUNCTION("""COMPUTED_VALUE"""),99.36)</f>
        <v>99.36</v>
      </c>
      <c r="D1112" s="27">
        <f>IFERROR(__xludf.DUMMYFUNCTION("""COMPUTED_VALUE"""),159.5)</f>
        <v>159.5</v>
      </c>
      <c r="E1112" s="26">
        <f>IFERROR(__xludf.DUMMYFUNCTION("""COMPUTED_VALUE"""),139.26119474285716)</f>
        <v>139.2611947</v>
      </c>
      <c r="F1112" s="26">
        <f>IFERROR(__xludf.DUMMYFUNCTION("""COMPUTED_VALUE"""),122.06999999999996)</f>
        <v>122.07</v>
      </c>
      <c r="G1112" s="26"/>
    </row>
    <row r="1113">
      <c r="A1113" s="25">
        <f>IFERROR(__xludf.DUMMYFUNCTION("""COMPUTED_VALUE"""),45673.0)</f>
        <v>45673</v>
      </c>
      <c r="B1113" s="26">
        <f>IFERROR(__xludf.DUMMYFUNCTION("""COMPUTED_VALUE"""),122.93)</f>
        <v>122.93</v>
      </c>
      <c r="C1113" s="27">
        <f>IFERROR(__xludf.DUMMYFUNCTION("""COMPUTED_VALUE"""),99.36)</f>
        <v>99.36</v>
      </c>
      <c r="D1113" s="27">
        <f>IFERROR(__xludf.DUMMYFUNCTION("""COMPUTED_VALUE"""),159.5)</f>
        <v>159.5</v>
      </c>
      <c r="E1113" s="26">
        <f>IFERROR(__xludf.DUMMYFUNCTION("""COMPUTED_VALUE"""),142.00394584285715)</f>
        <v>142.0039458</v>
      </c>
      <c r="F1113" s="26">
        <f>IFERROR(__xludf.DUMMYFUNCTION("""COMPUTED_VALUE"""),122.06999999999996)</f>
        <v>122.07</v>
      </c>
      <c r="G1113" s="26"/>
    </row>
    <row r="1114">
      <c r="A1114" s="25">
        <f>IFERROR(__xludf.DUMMYFUNCTION("""COMPUTED_VALUE"""),45674.0)</f>
        <v>45674</v>
      </c>
      <c r="B1114" s="26">
        <f>IFERROR(__xludf.DUMMYFUNCTION("""COMPUTED_VALUE"""),122.93)</f>
        <v>122.93</v>
      </c>
      <c r="C1114" s="27">
        <f>IFERROR(__xludf.DUMMYFUNCTION("""COMPUTED_VALUE"""),99.36)</f>
        <v>99.36</v>
      </c>
      <c r="D1114" s="27">
        <f>IFERROR(__xludf.DUMMYFUNCTION("""COMPUTED_VALUE"""),159.5)</f>
        <v>159.5</v>
      </c>
      <c r="E1114" s="26">
        <f>IFERROR(__xludf.DUMMYFUNCTION("""COMPUTED_VALUE"""),144.16113677142857)</f>
        <v>144.1611368</v>
      </c>
      <c r="F1114" s="26">
        <f>IFERROR(__xludf.DUMMYFUNCTION("""COMPUTED_VALUE"""),122.06999999999996)</f>
        <v>122.07</v>
      </c>
      <c r="G1114" s="26"/>
    </row>
    <row r="1115">
      <c r="A1115" s="25">
        <f>IFERROR(__xludf.DUMMYFUNCTION("""COMPUTED_VALUE"""),45675.0)</f>
        <v>45675</v>
      </c>
      <c r="B1115" s="26">
        <f>IFERROR(__xludf.DUMMYFUNCTION("""COMPUTED_VALUE"""),122.93)</f>
        <v>122.93</v>
      </c>
      <c r="C1115" s="27">
        <f>IFERROR(__xludf.DUMMYFUNCTION("""COMPUTED_VALUE"""),99.36)</f>
        <v>99.36</v>
      </c>
      <c r="D1115" s="27">
        <f>IFERROR(__xludf.DUMMYFUNCTION("""COMPUTED_VALUE"""),159.5)</f>
        <v>159.5</v>
      </c>
      <c r="E1115" s="26">
        <f>IFERROR(__xludf.DUMMYFUNCTION("""COMPUTED_VALUE"""),146.00528965714287)</f>
        <v>146.0052897</v>
      </c>
      <c r="F1115" s="26">
        <f>IFERROR(__xludf.DUMMYFUNCTION("""COMPUTED_VALUE"""),122.06999999999996)</f>
        <v>122.07</v>
      </c>
      <c r="G1115" s="26"/>
    </row>
    <row r="1116">
      <c r="A1116" s="25">
        <f>IFERROR(__xludf.DUMMYFUNCTION("""COMPUTED_VALUE"""),45676.0)</f>
        <v>45676</v>
      </c>
      <c r="B1116" s="26">
        <f>IFERROR(__xludf.DUMMYFUNCTION("""COMPUTED_VALUE"""),122.93)</f>
        <v>122.93</v>
      </c>
      <c r="C1116" s="27">
        <f>IFERROR(__xludf.DUMMYFUNCTION("""COMPUTED_VALUE"""),99.36)</f>
        <v>99.36</v>
      </c>
      <c r="D1116" s="27">
        <f>IFERROR(__xludf.DUMMYFUNCTION("""COMPUTED_VALUE"""),159.5)</f>
        <v>159.5</v>
      </c>
      <c r="E1116" s="26">
        <f>IFERROR(__xludf.DUMMYFUNCTION("""COMPUTED_VALUE"""),150.41175995714283)</f>
        <v>150.41176</v>
      </c>
      <c r="F1116" s="26">
        <f>IFERROR(__xludf.DUMMYFUNCTION("""COMPUTED_VALUE"""),122.06999999999996)</f>
        <v>122.07</v>
      </c>
      <c r="G1116" s="26"/>
    </row>
    <row r="1117">
      <c r="A1117" s="25">
        <f>IFERROR(__xludf.DUMMYFUNCTION("""COMPUTED_VALUE"""),45677.0)</f>
        <v>45677</v>
      </c>
      <c r="B1117" s="26">
        <f>IFERROR(__xludf.DUMMYFUNCTION("""COMPUTED_VALUE"""),124.0)</f>
        <v>124</v>
      </c>
      <c r="C1117" s="27">
        <f>IFERROR(__xludf.DUMMYFUNCTION("""COMPUTED_VALUE"""),99.9)</f>
        <v>99.9</v>
      </c>
      <c r="D1117" s="27">
        <f>IFERROR(__xludf.DUMMYFUNCTION("""COMPUTED_VALUE"""),163.5)</f>
        <v>163.5</v>
      </c>
      <c r="E1117" s="26">
        <f>IFERROR(__xludf.DUMMYFUNCTION("""COMPUTED_VALUE"""),159.4828571428571)</f>
        <v>159.4828571</v>
      </c>
      <c r="F1117" s="26">
        <f>IFERROR(__xludf.DUMMYFUNCTION("""COMPUTED_VALUE"""),122.06999999999996)</f>
        <v>122.07</v>
      </c>
      <c r="G1117" s="26"/>
    </row>
    <row r="1118">
      <c r="A1118" s="25">
        <f>IFERROR(__xludf.DUMMYFUNCTION("""COMPUTED_VALUE"""),45678.0)</f>
        <v>45678</v>
      </c>
      <c r="B1118" s="26">
        <f>IFERROR(__xludf.DUMMYFUNCTION("""COMPUTED_VALUE"""),124.0)</f>
        <v>124</v>
      </c>
      <c r="C1118" s="27">
        <f>IFERROR(__xludf.DUMMYFUNCTION("""COMPUTED_VALUE"""),99.9)</f>
        <v>99.9</v>
      </c>
      <c r="D1118" s="27">
        <f>IFERROR(__xludf.DUMMYFUNCTION("""COMPUTED_VALUE"""),163.5)</f>
        <v>163.5</v>
      </c>
      <c r="E1118" s="26">
        <f>IFERROR(__xludf.DUMMYFUNCTION("""COMPUTED_VALUE"""),162.44714285714284)</f>
        <v>162.4471429</v>
      </c>
      <c r="F1118" s="26">
        <f>IFERROR(__xludf.DUMMYFUNCTION("""COMPUTED_VALUE"""),122.06999999999996)</f>
        <v>122.07</v>
      </c>
      <c r="G1118" s="26"/>
    </row>
    <row r="1119">
      <c r="A1119" s="25">
        <f>IFERROR(__xludf.DUMMYFUNCTION("""COMPUTED_VALUE"""),45679.0)</f>
        <v>45679</v>
      </c>
      <c r="B1119" s="26">
        <f>IFERROR(__xludf.DUMMYFUNCTION("""COMPUTED_VALUE"""),124.0)</f>
        <v>124</v>
      </c>
      <c r="C1119" s="27">
        <f>IFERROR(__xludf.DUMMYFUNCTION("""COMPUTED_VALUE"""),99.9)</f>
        <v>99.9</v>
      </c>
      <c r="D1119" s="27">
        <f>IFERROR(__xludf.DUMMYFUNCTION("""COMPUTED_VALUE"""),163.5)</f>
        <v>163.5</v>
      </c>
      <c r="E1119" s="26">
        <f>IFERROR(__xludf.DUMMYFUNCTION("""COMPUTED_VALUE"""),160.48714285714283)</f>
        <v>160.4871429</v>
      </c>
      <c r="F1119" s="26">
        <f>IFERROR(__xludf.DUMMYFUNCTION("""COMPUTED_VALUE"""),122.06999999999996)</f>
        <v>122.07</v>
      </c>
      <c r="G1119" s="26"/>
    </row>
    <row r="1120">
      <c r="A1120" s="25">
        <f>IFERROR(__xludf.DUMMYFUNCTION("""COMPUTED_VALUE"""),45680.0)</f>
        <v>45680</v>
      </c>
      <c r="B1120" s="26">
        <f>IFERROR(__xludf.DUMMYFUNCTION("""COMPUTED_VALUE"""),124.0)</f>
        <v>124</v>
      </c>
      <c r="C1120" s="27">
        <f>IFERROR(__xludf.DUMMYFUNCTION("""COMPUTED_VALUE"""),99.9)</f>
        <v>99.9</v>
      </c>
      <c r="D1120" s="27">
        <f>IFERROR(__xludf.DUMMYFUNCTION("""COMPUTED_VALUE"""),163.5)</f>
        <v>163.5</v>
      </c>
      <c r="E1120" s="26">
        <f>IFERROR(__xludf.DUMMYFUNCTION("""COMPUTED_VALUE"""),159.44714285714286)</f>
        <v>159.4471429</v>
      </c>
      <c r="F1120" s="26">
        <f>IFERROR(__xludf.DUMMYFUNCTION("""COMPUTED_VALUE"""),122.06999999999996)</f>
        <v>122.07</v>
      </c>
      <c r="G1120" s="26"/>
    </row>
    <row r="1121">
      <c r="A1121" s="25">
        <f>IFERROR(__xludf.DUMMYFUNCTION("""COMPUTED_VALUE"""),45681.0)</f>
        <v>45681</v>
      </c>
      <c r="B1121" s="26">
        <f>IFERROR(__xludf.DUMMYFUNCTION("""COMPUTED_VALUE"""),124.0)</f>
        <v>124</v>
      </c>
      <c r="C1121" s="27">
        <f>IFERROR(__xludf.DUMMYFUNCTION("""COMPUTED_VALUE"""),99.9)</f>
        <v>99.9</v>
      </c>
      <c r="D1121" s="27">
        <f>IFERROR(__xludf.DUMMYFUNCTION("""COMPUTED_VALUE"""),163.5)</f>
        <v>163.5</v>
      </c>
      <c r="E1121" s="26">
        <f>IFERROR(__xludf.DUMMYFUNCTION("""COMPUTED_VALUE"""),159.49428571428572)</f>
        <v>159.4942857</v>
      </c>
      <c r="F1121" s="26">
        <f>IFERROR(__xludf.DUMMYFUNCTION("""COMPUTED_VALUE"""),122.06999999999996)</f>
        <v>122.07</v>
      </c>
      <c r="G1121" s="26"/>
    </row>
    <row r="1122">
      <c r="A1122" s="25">
        <f>IFERROR(__xludf.DUMMYFUNCTION("""COMPUTED_VALUE"""),45682.0)</f>
        <v>45682</v>
      </c>
      <c r="B1122" s="26">
        <f>IFERROR(__xludf.DUMMYFUNCTION("""COMPUTED_VALUE"""),124.0)</f>
        <v>124</v>
      </c>
      <c r="C1122" s="27">
        <f>IFERROR(__xludf.DUMMYFUNCTION("""COMPUTED_VALUE"""),99.9)</f>
        <v>99.9</v>
      </c>
      <c r="D1122" s="27">
        <f>IFERROR(__xludf.DUMMYFUNCTION("""COMPUTED_VALUE"""),163.5)</f>
        <v>163.5</v>
      </c>
      <c r="E1122" s="26">
        <f>IFERROR(__xludf.DUMMYFUNCTION("""COMPUTED_VALUE"""),159.2142857142857)</f>
        <v>159.2142857</v>
      </c>
      <c r="F1122" s="26">
        <f>IFERROR(__xludf.DUMMYFUNCTION("""COMPUTED_VALUE"""),122.06999999999996)</f>
        <v>122.07</v>
      </c>
      <c r="G1122" s="26"/>
    </row>
    <row r="1123">
      <c r="A1123" s="25">
        <f>IFERROR(__xludf.DUMMYFUNCTION("""COMPUTED_VALUE"""),45683.0)</f>
        <v>45683</v>
      </c>
      <c r="B1123" s="26">
        <f>IFERROR(__xludf.DUMMYFUNCTION("""COMPUTED_VALUE"""),124.0)</f>
        <v>124</v>
      </c>
      <c r="C1123" s="27">
        <f>IFERROR(__xludf.DUMMYFUNCTION("""COMPUTED_VALUE"""),99.9)</f>
        <v>99.9</v>
      </c>
      <c r="D1123" s="27">
        <f>IFERROR(__xludf.DUMMYFUNCTION("""COMPUTED_VALUE"""),163.5)</f>
        <v>163.5</v>
      </c>
      <c r="E1123" s="26">
        <f>IFERROR(__xludf.DUMMYFUNCTION("""COMPUTED_VALUE"""),157.0257142857143)</f>
        <v>157.0257143</v>
      </c>
      <c r="F1123" s="26">
        <f>IFERROR(__xludf.DUMMYFUNCTION("""COMPUTED_VALUE"""),122.06999999999996)</f>
        <v>122.07</v>
      </c>
      <c r="G1123" s="26"/>
    </row>
    <row r="1124">
      <c r="A1124" s="25">
        <f>IFERROR(__xludf.DUMMYFUNCTION("""COMPUTED_VALUE"""),45684.0)</f>
        <v>45684</v>
      </c>
      <c r="B1124" s="26">
        <f>IFERROR(__xludf.DUMMYFUNCTION("""COMPUTED_VALUE"""),126.16)</f>
        <v>126.16</v>
      </c>
      <c r="C1124" s="27">
        <f>IFERROR(__xludf.DUMMYFUNCTION("""COMPUTED_VALUE"""),99.9)</f>
        <v>99.9</v>
      </c>
      <c r="D1124" s="27">
        <f>IFERROR(__xludf.DUMMYFUNCTION("""COMPUTED_VALUE"""),163.5)</f>
        <v>163.5</v>
      </c>
      <c r="E1124" s="26">
        <f>IFERROR(__xludf.DUMMYFUNCTION("""COMPUTED_VALUE"""),148.89714285714285)</f>
        <v>148.8971429</v>
      </c>
      <c r="F1124" s="26">
        <f>IFERROR(__xludf.DUMMYFUNCTION("""COMPUTED_VALUE"""),123.19535714285712)</f>
        <v>123.1953571</v>
      </c>
      <c r="G1124" s="26"/>
    </row>
    <row r="1125">
      <c r="A1125" s="25">
        <f>IFERROR(__xludf.DUMMYFUNCTION("""COMPUTED_VALUE"""),45685.0)</f>
        <v>45685</v>
      </c>
      <c r="B1125" s="26">
        <f>IFERROR(__xludf.DUMMYFUNCTION("""COMPUTED_VALUE"""),126.16)</f>
        <v>126.16</v>
      </c>
      <c r="C1125" s="27">
        <f>IFERROR(__xludf.DUMMYFUNCTION("""COMPUTED_VALUE"""),99.9)</f>
        <v>99.9</v>
      </c>
      <c r="D1125" s="27">
        <f>IFERROR(__xludf.DUMMYFUNCTION("""COMPUTED_VALUE"""),163.5)</f>
        <v>163.5</v>
      </c>
      <c r="E1125" s="26">
        <f>IFERROR(__xludf.DUMMYFUNCTION("""COMPUTED_VALUE"""),144.81857142857146)</f>
        <v>144.8185714</v>
      </c>
      <c r="F1125" s="26">
        <f>IFERROR(__xludf.DUMMYFUNCTION("""COMPUTED_VALUE"""),124.32071428571427)</f>
        <v>124.3207143</v>
      </c>
      <c r="G1125" s="26"/>
    </row>
    <row r="1126">
      <c r="A1126" s="25">
        <f>IFERROR(__xludf.DUMMYFUNCTION("""COMPUTED_VALUE"""),45686.0)</f>
        <v>45686</v>
      </c>
      <c r="B1126" s="26">
        <f>IFERROR(__xludf.DUMMYFUNCTION("""COMPUTED_VALUE"""),126.16)</f>
        <v>126.16</v>
      </c>
      <c r="C1126" s="27">
        <f>IFERROR(__xludf.DUMMYFUNCTION("""COMPUTED_VALUE"""),99.9)</f>
        <v>99.9</v>
      </c>
      <c r="D1126" s="27">
        <f>IFERROR(__xludf.DUMMYFUNCTION("""COMPUTED_VALUE"""),163.5)</f>
        <v>163.5</v>
      </c>
      <c r="E1126" s="26">
        <f>IFERROR(__xludf.DUMMYFUNCTION("""COMPUTED_VALUE"""),141.7042857142857)</f>
        <v>141.7042857</v>
      </c>
      <c r="F1126" s="26">
        <f>IFERROR(__xludf.DUMMYFUNCTION("""COMPUTED_VALUE"""),125.44607142857141)</f>
        <v>125.4460714</v>
      </c>
      <c r="G1126" s="26"/>
    </row>
    <row r="1127">
      <c r="A1127" s="25">
        <f>IFERROR(__xludf.DUMMYFUNCTION("""COMPUTED_VALUE"""),45687.0)</f>
        <v>45687</v>
      </c>
      <c r="B1127" s="26">
        <f>IFERROR(__xludf.DUMMYFUNCTION("""COMPUTED_VALUE"""),126.16)</f>
        <v>126.16</v>
      </c>
      <c r="C1127" s="27">
        <f>IFERROR(__xludf.DUMMYFUNCTION("""COMPUTED_VALUE"""),99.9)</f>
        <v>99.9</v>
      </c>
      <c r="D1127" s="27">
        <f>IFERROR(__xludf.DUMMYFUNCTION("""COMPUTED_VALUE"""),163.5)</f>
        <v>163.5</v>
      </c>
      <c r="E1127" s="26">
        <f>IFERROR(__xludf.DUMMYFUNCTION("""COMPUTED_VALUE"""),141.1357142857143)</f>
        <v>141.1357143</v>
      </c>
      <c r="F1127" s="26">
        <f>IFERROR(__xludf.DUMMYFUNCTION("""COMPUTED_VALUE"""),126.57142857142857)</f>
        <v>126.5714286</v>
      </c>
      <c r="G1127" s="26"/>
    </row>
    <row r="1128">
      <c r="A1128" s="25">
        <f>IFERROR(__xludf.DUMMYFUNCTION("""COMPUTED_VALUE"""),45688.0)</f>
        <v>45688</v>
      </c>
      <c r="B1128" s="26">
        <f>IFERROR(__xludf.DUMMYFUNCTION("""COMPUTED_VALUE"""),126.16)</f>
        <v>126.16</v>
      </c>
      <c r="C1128" s="27">
        <f>IFERROR(__xludf.DUMMYFUNCTION("""COMPUTED_VALUE"""),99.9)</f>
        <v>99.9</v>
      </c>
      <c r="D1128" s="27">
        <f>IFERROR(__xludf.DUMMYFUNCTION("""COMPUTED_VALUE"""),163.5)</f>
        <v>163.5</v>
      </c>
      <c r="E1128" s="26">
        <f>IFERROR(__xludf.DUMMYFUNCTION("""COMPUTED_VALUE"""),141.9085714285714)</f>
        <v>141.9085714</v>
      </c>
      <c r="F1128" s="26">
        <f>IFERROR(__xludf.DUMMYFUNCTION("""COMPUTED_VALUE"""),127.69678571428571)</f>
        <v>127.6967857</v>
      </c>
      <c r="G1128" s="26"/>
    </row>
    <row r="1129">
      <c r="A1129" s="25">
        <f>IFERROR(__xludf.DUMMYFUNCTION("""COMPUTED_VALUE"""),45689.0)</f>
        <v>45689</v>
      </c>
      <c r="B1129" s="26">
        <f>IFERROR(__xludf.DUMMYFUNCTION("""COMPUTED_VALUE"""),126.16)</f>
        <v>126.16</v>
      </c>
      <c r="C1129" s="27">
        <f>IFERROR(__xludf.DUMMYFUNCTION("""COMPUTED_VALUE"""),99.9)</f>
        <v>99.9</v>
      </c>
      <c r="D1129" s="27">
        <f>IFERROR(__xludf.DUMMYFUNCTION("""COMPUTED_VALUE"""),163.5)</f>
        <v>163.5</v>
      </c>
      <c r="E1129" s="26">
        <f>IFERROR(__xludf.DUMMYFUNCTION("""COMPUTED_VALUE"""),143.05037517142858)</f>
        <v>143.0503752</v>
      </c>
      <c r="F1129" s="26">
        <f>IFERROR(__xludf.DUMMYFUNCTION("""COMPUTED_VALUE"""),128.82214285714284)</f>
        <v>128.8221429</v>
      </c>
      <c r="G1129" s="26"/>
    </row>
    <row r="1130">
      <c r="A1130" s="25">
        <f>IFERROR(__xludf.DUMMYFUNCTION("""COMPUTED_VALUE"""),45690.0)</f>
        <v>45690</v>
      </c>
      <c r="B1130" s="26">
        <f>IFERROR(__xludf.DUMMYFUNCTION("""COMPUTED_VALUE"""),126.16)</f>
        <v>126.16</v>
      </c>
      <c r="C1130" s="27">
        <f>IFERROR(__xludf.DUMMYFUNCTION("""COMPUTED_VALUE"""),99.9)</f>
        <v>99.9</v>
      </c>
      <c r="D1130" s="27">
        <f>IFERROR(__xludf.DUMMYFUNCTION("""COMPUTED_VALUE"""),163.5)</f>
        <v>163.5</v>
      </c>
      <c r="E1130" s="26">
        <f>IFERROR(__xludf.DUMMYFUNCTION("""COMPUTED_VALUE"""),144.32265518571427)</f>
        <v>144.3226552</v>
      </c>
      <c r="F1130" s="26">
        <f>IFERROR(__xludf.DUMMYFUNCTION("""COMPUTED_VALUE"""),129.9475)</f>
        <v>129.9475</v>
      </c>
      <c r="G1130" s="26"/>
    </row>
    <row r="1131">
      <c r="A1131" s="25">
        <f>IFERROR(__xludf.DUMMYFUNCTION("""COMPUTED_VALUE"""),45691.0)</f>
        <v>45691</v>
      </c>
      <c r="B1131" s="26">
        <f>IFERROR(__xludf.DUMMYFUNCTION("""COMPUTED_VALUE"""),126.16)</f>
        <v>126.16</v>
      </c>
      <c r="C1131" s="27">
        <f>IFERROR(__xludf.DUMMYFUNCTION("""COMPUTED_VALUE"""),99.9)</f>
        <v>99.9</v>
      </c>
      <c r="D1131" s="27">
        <f>IFERROR(__xludf.DUMMYFUNCTION("""COMPUTED_VALUE"""),163.5)</f>
        <v>163.5</v>
      </c>
      <c r="E1131" s="26">
        <f>IFERROR(__xludf.DUMMYFUNCTION("""COMPUTED_VALUE"""),146.24004124285713)</f>
        <v>146.2400412</v>
      </c>
      <c r="F1131" s="26">
        <f>IFERROR(__xludf.DUMMYFUNCTION("""COMPUTED_VALUE"""),129.9475)</f>
        <v>129.9475</v>
      </c>
      <c r="G1131" s="26"/>
    </row>
    <row r="1132">
      <c r="A1132" s="25">
        <f>IFERROR(__xludf.DUMMYFUNCTION("""COMPUTED_VALUE"""),45692.0)</f>
        <v>45692</v>
      </c>
      <c r="B1132" s="26">
        <f>IFERROR(__xludf.DUMMYFUNCTION("""COMPUTED_VALUE"""),126.16)</f>
        <v>126.16</v>
      </c>
      <c r="C1132" s="27">
        <f>IFERROR(__xludf.DUMMYFUNCTION("""COMPUTED_VALUE"""),99.9)</f>
        <v>99.9</v>
      </c>
      <c r="D1132" s="27">
        <f>IFERROR(__xludf.DUMMYFUNCTION("""COMPUTED_VALUE"""),163.5)</f>
        <v>163.5</v>
      </c>
      <c r="E1132" s="26">
        <f>IFERROR(__xludf.DUMMYFUNCTION("""COMPUTED_VALUE"""),148.6192160142857)</f>
        <v>148.619216</v>
      </c>
      <c r="F1132" s="26">
        <f>IFERROR(__xludf.DUMMYFUNCTION("""COMPUTED_VALUE"""),129.9475)</f>
        <v>129.9475</v>
      </c>
      <c r="G1132" s="26"/>
    </row>
    <row r="1133">
      <c r="A1133" s="25">
        <f>IFERROR(__xludf.DUMMYFUNCTION("""COMPUTED_VALUE"""),45693.0)</f>
        <v>45693</v>
      </c>
      <c r="B1133" s="26">
        <f>IFERROR(__xludf.DUMMYFUNCTION("""COMPUTED_VALUE"""),126.16)</f>
        <v>126.16</v>
      </c>
      <c r="C1133" s="27">
        <f>IFERROR(__xludf.DUMMYFUNCTION("""COMPUTED_VALUE"""),99.9)</f>
        <v>99.9</v>
      </c>
      <c r="D1133" s="27">
        <f>IFERROR(__xludf.DUMMYFUNCTION("""COMPUTED_VALUE"""),163.5)</f>
        <v>163.5</v>
      </c>
      <c r="E1133" s="26">
        <f>IFERROR(__xludf.DUMMYFUNCTION("""COMPUTED_VALUE"""),150.25868904285716)</f>
        <v>150.258689</v>
      </c>
      <c r="F1133" s="26">
        <f>IFERROR(__xludf.DUMMYFUNCTION("""COMPUTED_VALUE"""),129.9475)</f>
        <v>129.9475</v>
      </c>
      <c r="G1133" s="26"/>
    </row>
    <row r="1134">
      <c r="A1134" s="25">
        <f>IFERROR(__xludf.DUMMYFUNCTION("""COMPUTED_VALUE"""),45694.0)</f>
        <v>45694</v>
      </c>
      <c r="B1134" s="26">
        <f>IFERROR(__xludf.DUMMYFUNCTION("""COMPUTED_VALUE"""),126.16)</f>
        <v>126.16</v>
      </c>
      <c r="C1134" s="27">
        <f>IFERROR(__xludf.DUMMYFUNCTION("""COMPUTED_VALUE"""),99.9)</f>
        <v>99.9</v>
      </c>
      <c r="D1134" s="27">
        <f>IFERROR(__xludf.DUMMYFUNCTION("""COMPUTED_VALUE"""),163.5)</f>
        <v>163.5</v>
      </c>
      <c r="E1134" s="26">
        <f>IFERROR(__xludf.DUMMYFUNCTION("""COMPUTED_VALUE"""),151.70742945714287)</f>
        <v>151.7074295</v>
      </c>
      <c r="F1134" s="26">
        <f>IFERROR(__xludf.DUMMYFUNCTION("""COMPUTED_VALUE"""),129.9475)</f>
        <v>129.9475</v>
      </c>
      <c r="G1134" s="26"/>
    </row>
    <row r="1135">
      <c r="A1135" s="25">
        <f>IFERROR(__xludf.DUMMYFUNCTION("""COMPUTED_VALUE"""),45695.0)</f>
        <v>45695</v>
      </c>
      <c r="B1135" s="26">
        <f>IFERROR(__xludf.DUMMYFUNCTION("""COMPUTED_VALUE"""),126.16)</f>
        <v>126.16</v>
      </c>
      <c r="C1135" s="27">
        <f>IFERROR(__xludf.DUMMYFUNCTION("""COMPUTED_VALUE"""),99.9)</f>
        <v>99.9</v>
      </c>
      <c r="D1135" s="27">
        <f>IFERROR(__xludf.DUMMYFUNCTION("""COMPUTED_VALUE"""),163.5)</f>
        <v>163.5</v>
      </c>
      <c r="E1135" s="26">
        <f>IFERROR(__xludf.DUMMYFUNCTION("""COMPUTED_VALUE"""),152.0408147285714)</f>
        <v>152.0408147</v>
      </c>
      <c r="F1135" s="26">
        <f>IFERROR(__xludf.DUMMYFUNCTION("""COMPUTED_VALUE"""),129.9475)</f>
        <v>129.9475</v>
      </c>
      <c r="G1135" s="26"/>
    </row>
    <row r="1136">
      <c r="A1136" s="25">
        <f>IFERROR(__xludf.DUMMYFUNCTION("""COMPUTED_VALUE"""),45696.0)</f>
        <v>45696</v>
      </c>
      <c r="B1136" s="26">
        <f>IFERROR(__xludf.DUMMYFUNCTION("""COMPUTED_VALUE"""),126.16)</f>
        <v>126.16</v>
      </c>
      <c r="C1136" s="27">
        <f>IFERROR(__xludf.DUMMYFUNCTION("""COMPUTED_VALUE"""),99.9000000000001)</f>
        <v>99.9</v>
      </c>
      <c r="D1136" s="27">
        <f>IFERROR(__xludf.DUMMYFUNCTION("""COMPUTED_VALUE"""),163.5)</f>
        <v>163.5</v>
      </c>
      <c r="E1136" s="26">
        <f>IFERROR(__xludf.DUMMYFUNCTION("""COMPUTED_VALUE"""),153.281941)</f>
        <v>153.281941</v>
      </c>
      <c r="F1136" s="26">
        <f>IFERROR(__xludf.DUMMYFUNCTION("""COMPUTED_VALUE"""),129.9475)</f>
        <v>129.9475</v>
      </c>
      <c r="G1136" s="26"/>
    </row>
    <row r="1137">
      <c r="A1137" s="25">
        <f>IFERROR(__xludf.DUMMYFUNCTION("""COMPUTED_VALUE"""),45697.0)</f>
        <v>45697</v>
      </c>
      <c r="B1137" s="26">
        <f>IFERROR(__xludf.DUMMYFUNCTION("""COMPUTED_VALUE"""),126.16)</f>
        <v>126.16</v>
      </c>
      <c r="C1137" s="27">
        <f>IFERROR(__xludf.DUMMYFUNCTION("""COMPUTED_VALUE"""),99.9000000000001)</f>
        <v>99.9</v>
      </c>
      <c r="D1137" s="27">
        <f>IFERROR(__xludf.DUMMYFUNCTION("""COMPUTED_VALUE"""),163.5)</f>
        <v>163.5</v>
      </c>
      <c r="E1137" s="26">
        <f>IFERROR(__xludf.DUMMYFUNCTION("""COMPUTED_VALUE"""),155.7474318)</f>
        <v>155.7474318</v>
      </c>
      <c r="F1137" s="26">
        <f>IFERROR(__xludf.DUMMYFUNCTION("""COMPUTED_VALUE"""),129.9475)</f>
        <v>129.9475</v>
      </c>
      <c r="G1137" s="26"/>
    </row>
    <row r="1138">
      <c r="A1138" s="25">
        <f>IFERROR(__xludf.DUMMYFUNCTION("""COMPUTED_VALUE"""),45698.0)</f>
        <v>45698</v>
      </c>
      <c r="B1138" s="26">
        <f>IFERROR(__xludf.DUMMYFUNCTION("""COMPUTED_VALUE"""),130.61)</f>
        <v>130.61</v>
      </c>
      <c r="C1138" s="27">
        <f>IFERROR(__xludf.DUMMYFUNCTION("""COMPUTED_VALUE"""),99.9)</f>
        <v>99.9</v>
      </c>
      <c r="D1138" s="27">
        <f>IFERROR(__xludf.DUMMYFUNCTION("""COMPUTED_VALUE"""),168.0)</f>
        <v>168</v>
      </c>
      <c r="E1138" s="26">
        <f>IFERROR(__xludf.DUMMYFUNCTION("""COMPUTED_VALUE"""),156.57598112857144)</f>
        <v>156.5759811</v>
      </c>
      <c r="F1138" s="26">
        <f>IFERROR(__xludf.DUMMYFUNCTION("""COMPUTED_VALUE"""),129.9475)</f>
        <v>129.9475</v>
      </c>
      <c r="G1138" s="26"/>
    </row>
    <row r="1139">
      <c r="A1139" s="25">
        <f>IFERROR(__xludf.DUMMYFUNCTION("""COMPUTED_VALUE"""),45699.0)</f>
        <v>45699</v>
      </c>
      <c r="B1139" s="26">
        <f>IFERROR(__xludf.DUMMYFUNCTION("""COMPUTED_VALUE"""),130.61)</f>
        <v>130.61</v>
      </c>
      <c r="C1139" s="27">
        <f>IFERROR(__xludf.DUMMYFUNCTION("""COMPUTED_VALUE"""),99.9)</f>
        <v>99.9</v>
      </c>
      <c r="D1139" s="27">
        <f>IFERROR(__xludf.DUMMYFUNCTION("""COMPUTED_VALUE"""),168.0)</f>
        <v>168</v>
      </c>
      <c r="E1139" s="26">
        <f>IFERROR(__xludf.DUMMYFUNCTION("""COMPUTED_VALUE"""),158.52063058571431)</f>
        <v>158.5206306</v>
      </c>
      <c r="F1139" s="26">
        <f>IFERROR(__xludf.DUMMYFUNCTION("""COMPUTED_VALUE"""),129.9475)</f>
        <v>129.9475</v>
      </c>
      <c r="G1139" s="26"/>
    </row>
    <row r="1140">
      <c r="A1140" s="25">
        <f>IFERROR(__xludf.DUMMYFUNCTION("""COMPUTED_VALUE"""),45700.0)</f>
        <v>45700</v>
      </c>
      <c r="B1140" s="26">
        <f>IFERROR(__xludf.DUMMYFUNCTION("""COMPUTED_VALUE"""),130.61)</f>
        <v>130.61</v>
      </c>
      <c r="C1140" s="27">
        <f>IFERROR(__xludf.DUMMYFUNCTION("""COMPUTED_VALUE"""),99.9)</f>
        <v>99.9</v>
      </c>
      <c r="D1140" s="27">
        <f>IFERROR(__xludf.DUMMYFUNCTION("""COMPUTED_VALUE"""),168.0)</f>
        <v>168</v>
      </c>
      <c r="E1140" s="26">
        <f>IFERROR(__xludf.DUMMYFUNCTION("""COMPUTED_VALUE"""),161.70115755714284)</f>
        <v>161.7011576</v>
      </c>
      <c r="F1140" s="26">
        <f>IFERROR(__xludf.DUMMYFUNCTION("""COMPUTED_VALUE"""),129.9475)</f>
        <v>129.9475</v>
      </c>
      <c r="G1140" s="26"/>
    </row>
    <row r="1141">
      <c r="A1141" s="25">
        <f>IFERROR(__xludf.DUMMYFUNCTION("""COMPUTED_VALUE"""),45701.0)</f>
        <v>45701</v>
      </c>
      <c r="B1141" s="26">
        <f>IFERROR(__xludf.DUMMYFUNCTION("""COMPUTED_VALUE"""),130.61)</f>
        <v>130.61</v>
      </c>
      <c r="C1141" s="27">
        <f>IFERROR(__xludf.DUMMYFUNCTION("""COMPUTED_VALUE"""),99.9)</f>
        <v>99.9</v>
      </c>
      <c r="D1141" s="27">
        <f>IFERROR(__xludf.DUMMYFUNCTION("""COMPUTED_VALUE"""),168.0)</f>
        <v>168</v>
      </c>
      <c r="E1141" s="26">
        <f>IFERROR(__xludf.DUMMYFUNCTION("""COMPUTED_VALUE"""),164.18798857142858)</f>
        <v>164.1879886</v>
      </c>
      <c r="F1141" s="26">
        <f>IFERROR(__xludf.DUMMYFUNCTION("""COMPUTED_VALUE"""),129.9475)</f>
        <v>129.9475</v>
      </c>
      <c r="G1141" s="26"/>
    </row>
    <row r="1142">
      <c r="A1142" s="25">
        <f>IFERROR(__xludf.DUMMYFUNCTION("""COMPUTED_VALUE"""),45702.0)</f>
        <v>45702</v>
      </c>
      <c r="B1142" s="26">
        <f>IFERROR(__xludf.DUMMYFUNCTION("""COMPUTED_VALUE"""),130.61)</f>
        <v>130.61</v>
      </c>
      <c r="C1142" s="27">
        <f>IFERROR(__xludf.DUMMYFUNCTION("""COMPUTED_VALUE"""),99.9)</f>
        <v>99.9</v>
      </c>
      <c r="D1142" s="27">
        <f>IFERROR(__xludf.DUMMYFUNCTION("""COMPUTED_VALUE"""),168.0)</f>
        <v>168</v>
      </c>
      <c r="E1142" s="26">
        <f>IFERROR(__xludf.DUMMYFUNCTION("""COMPUTED_VALUE"""),164.8646033)</f>
        <v>164.8646033</v>
      </c>
      <c r="F1142" s="26">
        <f>IFERROR(__xludf.DUMMYFUNCTION("""COMPUTED_VALUE"""),129.9475)</f>
        <v>129.9475</v>
      </c>
      <c r="G1142" s="26"/>
    </row>
    <row r="1143">
      <c r="A1143" s="25">
        <f>IFERROR(__xludf.DUMMYFUNCTION("""COMPUTED_VALUE"""),45703.0)</f>
        <v>45703</v>
      </c>
      <c r="B1143" s="26">
        <f>IFERROR(__xludf.DUMMYFUNCTION("""COMPUTED_VALUE"""),130.61)</f>
        <v>130.61</v>
      </c>
      <c r="C1143" s="27">
        <f>IFERROR(__xludf.DUMMYFUNCTION("""COMPUTED_VALUE"""),99.9)</f>
        <v>99.9</v>
      </c>
      <c r="D1143" s="27">
        <f>IFERROR(__xludf.DUMMYFUNCTION("""COMPUTED_VALUE"""),168.0)</f>
        <v>168</v>
      </c>
      <c r="E1143" s="26">
        <f>IFERROR(__xludf.DUMMYFUNCTION("""COMPUTED_VALUE"""),162.94738757142858)</f>
        <v>162.9473876</v>
      </c>
      <c r="F1143" s="26">
        <f>IFERROR(__xludf.DUMMYFUNCTION("""COMPUTED_VALUE"""),129.9475)</f>
        <v>129.9475</v>
      </c>
      <c r="G1143" s="26"/>
    </row>
    <row r="1144">
      <c r="A1144" s="25">
        <f>IFERROR(__xludf.DUMMYFUNCTION("""COMPUTED_VALUE"""),45704.0)</f>
        <v>45704</v>
      </c>
      <c r="B1144" s="26">
        <f>IFERROR(__xludf.DUMMYFUNCTION("""COMPUTED_VALUE"""),130.61)</f>
        <v>130.61</v>
      </c>
      <c r="C1144" s="27">
        <f>IFERROR(__xludf.DUMMYFUNCTION("""COMPUTED_VALUE"""),99.9)</f>
        <v>99.9</v>
      </c>
      <c r="D1144" s="27">
        <f>IFERROR(__xludf.DUMMYFUNCTION("""COMPUTED_VALUE"""),168.0)</f>
        <v>168</v>
      </c>
      <c r="E1144" s="26">
        <f>IFERROR(__xludf.DUMMYFUNCTION("""COMPUTED_VALUE"""),161.33390247142856)</f>
        <v>161.3339025</v>
      </c>
      <c r="F1144" s="26">
        <f>IFERROR(__xludf.DUMMYFUNCTION("""COMPUTED_VALUE"""),129.9475)</f>
        <v>129.9475</v>
      </c>
      <c r="G1144" s="26"/>
    </row>
    <row r="1145">
      <c r="A1145" s="25">
        <f>IFERROR(__xludf.DUMMYFUNCTION("""COMPUTED_VALUE"""),45705.0)</f>
        <v>45705</v>
      </c>
      <c r="B1145" s="26">
        <f>IFERROR(__xludf.DUMMYFUNCTION("""COMPUTED_VALUE"""),130.61)</f>
        <v>130.61</v>
      </c>
      <c r="C1145" s="27">
        <f>IFERROR(__xludf.DUMMYFUNCTION("""COMPUTED_VALUE"""),99.9)</f>
        <v>99.9</v>
      </c>
      <c r="D1145" s="27">
        <f>IFERROR(__xludf.DUMMYFUNCTION("""COMPUTED_VALUE"""),168.0)</f>
        <v>168</v>
      </c>
      <c r="E1145" s="26">
        <f>IFERROR(__xludf.DUMMYFUNCTION("""COMPUTED_VALUE"""),161.26125280000002)</f>
        <v>161.2612528</v>
      </c>
      <c r="F1145" s="26">
        <f>IFERROR(__xludf.DUMMYFUNCTION("""COMPUTED_VALUE"""),132.15714285714284)</f>
        <v>132.1571429</v>
      </c>
      <c r="G1145" s="26"/>
    </row>
    <row r="1146">
      <c r="A1146" s="25">
        <f>IFERROR(__xludf.DUMMYFUNCTION("""COMPUTED_VALUE"""),45706.0)</f>
        <v>45706</v>
      </c>
      <c r="B1146" s="26">
        <f>IFERROR(__xludf.DUMMYFUNCTION("""COMPUTED_VALUE"""),130.61)</f>
        <v>130.61</v>
      </c>
      <c r="C1146" s="27">
        <f>IFERROR(__xludf.DUMMYFUNCTION("""COMPUTED_VALUE"""),99.9)</f>
        <v>99.9</v>
      </c>
      <c r="D1146" s="27">
        <f>IFERROR(__xludf.DUMMYFUNCTION("""COMPUTED_VALUE"""),168.0)</f>
        <v>168</v>
      </c>
      <c r="E1146" s="26">
        <f>IFERROR(__xludf.DUMMYFUNCTION("""COMPUTED_VALUE"""),159.70357142857142)</f>
        <v>159.7035714</v>
      </c>
      <c r="F1146" s="26">
        <f>IFERROR(__xludf.DUMMYFUNCTION("""COMPUTED_VALUE"""),134.3667857142857)</f>
        <v>134.3667857</v>
      </c>
      <c r="G1146" s="26"/>
    </row>
    <row r="1147">
      <c r="A1147" s="25">
        <f>IFERROR(__xludf.DUMMYFUNCTION("""COMPUTED_VALUE"""),45707.0)</f>
        <v>45707</v>
      </c>
      <c r="B1147" s="26">
        <f>IFERROR(__xludf.DUMMYFUNCTION("""COMPUTED_VALUE"""),130.61)</f>
        <v>130.61</v>
      </c>
      <c r="C1147" s="27">
        <f>IFERROR(__xludf.DUMMYFUNCTION("""COMPUTED_VALUE"""),99.9)</f>
        <v>99.9</v>
      </c>
      <c r="D1147" s="27">
        <f>IFERROR(__xludf.DUMMYFUNCTION("""COMPUTED_VALUE"""),168.0)</f>
        <v>168</v>
      </c>
      <c r="E1147" s="26">
        <f>IFERROR(__xludf.DUMMYFUNCTION("""COMPUTED_VALUE"""),156.81214285714285)</f>
        <v>156.8121429</v>
      </c>
      <c r="F1147" s="26">
        <f>IFERROR(__xludf.DUMMYFUNCTION("""COMPUTED_VALUE"""),136.57642857142855)</f>
        <v>136.5764286</v>
      </c>
      <c r="G1147" s="26"/>
    </row>
    <row r="1148">
      <c r="A1148" s="25">
        <f>IFERROR(__xludf.DUMMYFUNCTION("""COMPUTED_VALUE"""),45708.0)</f>
        <v>45708</v>
      </c>
      <c r="B1148" s="26">
        <f>IFERROR(__xludf.DUMMYFUNCTION("""COMPUTED_VALUE"""),130.61)</f>
        <v>130.61</v>
      </c>
      <c r="C1148" s="27">
        <f>IFERROR(__xludf.DUMMYFUNCTION("""COMPUTED_VALUE"""),99.9)</f>
        <v>99.9</v>
      </c>
      <c r="D1148" s="27">
        <f>IFERROR(__xludf.DUMMYFUNCTION("""COMPUTED_VALUE"""),168.0)</f>
        <v>168</v>
      </c>
      <c r="E1148" s="26">
        <f>IFERROR(__xludf.DUMMYFUNCTION("""COMPUTED_VALUE"""),154.28371428571427)</f>
        <v>154.2837143</v>
      </c>
      <c r="F1148" s="26">
        <f>IFERROR(__xludf.DUMMYFUNCTION("""COMPUTED_VALUE"""),138.7860714285714)</f>
        <v>138.7860714</v>
      </c>
      <c r="G1148" s="26"/>
    </row>
    <row r="1149">
      <c r="A1149" s="25">
        <f>IFERROR(__xludf.DUMMYFUNCTION("""COMPUTED_VALUE"""),45709.0)</f>
        <v>45709</v>
      </c>
      <c r="B1149" s="26">
        <f>IFERROR(__xludf.DUMMYFUNCTION("""COMPUTED_VALUE"""),130.61)</f>
        <v>130.61</v>
      </c>
      <c r="C1149" s="27">
        <f>IFERROR(__xludf.DUMMYFUNCTION("""COMPUTED_VALUE"""),99.9)</f>
        <v>99.9</v>
      </c>
      <c r="D1149" s="27">
        <f>IFERROR(__xludf.DUMMYFUNCTION("""COMPUTED_VALUE"""),168.0)</f>
        <v>168</v>
      </c>
      <c r="E1149" s="26">
        <f>IFERROR(__xludf.DUMMYFUNCTION("""COMPUTED_VALUE"""),152.10042857142858)</f>
        <v>152.1004286</v>
      </c>
      <c r="F1149" s="26">
        <f>IFERROR(__xludf.DUMMYFUNCTION("""COMPUTED_VALUE"""),140.99571428571426)</f>
        <v>140.9957143</v>
      </c>
      <c r="G1149" s="26"/>
    </row>
    <row r="1150">
      <c r="A1150" s="25">
        <f>IFERROR(__xludf.DUMMYFUNCTION("""COMPUTED_VALUE"""),45710.0)</f>
        <v>45710</v>
      </c>
      <c r="B1150" s="26">
        <f>IFERROR(__xludf.DUMMYFUNCTION("""COMPUTED_VALUE"""),130.61)</f>
        <v>130.61</v>
      </c>
      <c r="C1150" s="27">
        <f>IFERROR(__xludf.DUMMYFUNCTION("""COMPUTED_VALUE"""),99.9)</f>
        <v>99.9</v>
      </c>
      <c r="D1150" s="27">
        <f>IFERROR(__xludf.DUMMYFUNCTION("""COMPUTED_VALUE"""),168.0)</f>
        <v>168</v>
      </c>
      <c r="E1150" s="26">
        <f>IFERROR(__xludf.DUMMYFUNCTION("""COMPUTED_VALUE"""),151.52457142857142)</f>
        <v>151.5245714</v>
      </c>
      <c r="F1150" s="26">
        <f>IFERROR(__xludf.DUMMYFUNCTION("""COMPUTED_VALUE"""),143.2053571428571)</f>
        <v>143.2053571</v>
      </c>
      <c r="G1150" s="26"/>
    </row>
    <row r="1151">
      <c r="A1151" s="25">
        <f>IFERROR(__xludf.DUMMYFUNCTION("""COMPUTED_VALUE"""),45711.0)</f>
        <v>45711</v>
      </c>
      <c r="B1151" s="26">
        <f>IFERROR(__xludf.DUMMYFUNCTION("""COMPUTED_VALUE"""),130.61)</f>
        <v>130.61</v>
      </c>
      <c r="C1151" s="27">
        <f>IFERROR(__xludf.DUMMYFUNCTION("""COMPUTED_VALUE"""),99.9)</f>
        <v>99.9</v>
      </c>
      <c r="D1151" s="27">
        <f>IFERROR(__xludf.DUMMYFUNCTION("""COMPUTED_VALUE"""),168.0)</f>
        <v>168</v>
      </c>
      <c r="E1151" s="26">
        <f>IFERROR(__xludf.DUMMYFUNCTION("""COMPUTED_VALUE"""),149.79985714285712)</f>
        <v>149.7998571</v>
      </c>
      <c r="F1151" s="26">
        <f>IFERROR(__xludf.DUMMYFUNCTION("""COMPUTED_VALUE"""),145.415)</f>
        <v>145.415</v>
      </c>
      <c r="G1151" s="26"/>
    </row>
    <row r="1152">
      <c r="A1152" s="25">
        <f>IFERROR(__xludf.DUMMYFUNCTION("""COMPUTED_VALUE"""),45712.0)</f>
        <v>45712</v>
      </c>
      <c r="B1152" s="26">
        <f>IFERROR(__xludf.DUMMYFUNCTION("""COMPUTED_VALUE"""),134.02)</f>
        <v>134.02</v>
      </c>
      <c r="C1152" s="27">
        <f>IFERROR(__xludf.DUMMYFUNCTION("""COMPUTED_VALUE"""),106.81)</f>
        <v>106.81</v>
      </c>
      <c r="D1152" s="27">
        <f>IFERROR(__xludf.DUMMYFUNCTION("""COMPUTED_VALUE"""),175.0)</f>
        <v>175</v>
      </c>
      <c r="E1152" s="26">
        <f>IFERROR(__xludf.DUMMYFUNCTION("""COMPUTED_VALUE"""),146.99185714285713)</f>
        <v>146.9918571</v>
      </c>
      <c r="F1152" s="26">
        <f>IFERROR(__xludf.DUMMYFUNCTION("""COMPUTED_VALUE"""),143.87964285714284)</f>
        <v>143.8796429</v>
      </c>
      <c r="G1152" s="26"/>
    </row>
    <row r="1153">
      <c r="A1153" s="25">
        <f>IFERROR(__xludf.DUMMYFUNCTION("""COMPUTED_VALUE"""),45713.0)</f>
        <v>45713</v>
      </c>
      <c r="B1153" s="26">
        <f>IFERROR(__xludf.DUMMYFUNCTION("""COMPUTED_VALUE"""),134.02)</f>
        <v>134.02</v>
      </c>
      <c r="C1153" s="27">
        <f>IFERROR(__xludf.DUMMYFUNCTION("""COMPUTED_VALUE"""),106.81)</f>
        <v>106.81</v>
      </c>
      <c r="D1153" s="27">
        <f>IFERROR(__xludf.DUMMYFUNCTION("""COMPUTED_VALUE"""),175.0)</f>
        <v>175</v>
      </c>
      <c r="E1153" s="26">
        <f>IFERROR(__xludf.DUMMYFUNCTION("""COMPUTED_VALUE"""),145.4267142857143)</f>
        <v>145.4267143</v>
      </c>
      <c r="F1153" s="26">
        <f>IFERROR(__xludf.DUMMYFUNCTION("""COMPUTED_VALUE"""),142.34428571428572)</f>
        <v>142.3442857</v>
      </c>
      <c r="G1153" s="26"/>
    </row>
    <row r="1154">
      <c r="A1154" s="25">
        <f>IFERROR(__xludf.DUMMYFUNCTION("""COMPUTED_VALUE"""),45714.0)</f>
        <v>45714</v>
      </c>
      <c r="B1154" s="26">
        <f>IFERROR(__xludf.DUMMYFUNCTION("""COMPUTED_VALUE"""),134.02)</f>
        <v>134.02</v>
      </c>
      <c r="C1154" s="27">
        <f>IFERROR(__xludf.DUMMYFUNCTION("""COMPUTED_VALUE"""),106.81)</f>
        <v>106.81</v>
      </c>
      <c r="D1154" s="27">
        <f>IFERROR(__xludf.DUMMYFUNCTION("""COMPUTED_VALUE"""),175.0)</f>
        <v>175</v>
      </c>
      <c r="E1154" s="26">
        <f>IFERROR(__xludf.DUMMYFUNCTION("""COMPUTED_VALUE"""),143.9667142857143)</f>
        <v>143.9667143</v>
      </c>
      <c r="F1154" s="26">
        <f>IFERROR(__xludf.DUMMYFUNCTION("""COMPUTED_VALUE"""),140.80892857142857)</f>
        <v>140.8089286</v>
      </c>
      <c r="G1154" s="26"/>
    </row>
    <row r="1155">
      <c r="A1155" s="25">
        <f>IFERROR(__xludf.DUMMYFUNCTION("""COMPUTED_VALUE"""),45715.0)</f>
        <v>45715</v>
      </c>
      <c r="B1155" s="26">
        <f>IFERROR(__xludf.DUMMYFUNCTION("""COMPUTED_VALUE"""),134.02)</f>
        <v>134.02</v>
      </c>
      <c r="C1155" s="27">
        <f>IFERROR(__xludf.DUMMYFUNCTION("""COMPUTED_VALUE"""),106.81)</f>
        <v>106.81</v>
      </c>
      <c r="D1155" s="27">
        <f>IFERROR(__xludf.DUMMYFUNCTION("""COMPUTED_VALUE"""),175.0)</f>
        <v>175</v>
      </c>
      <c r="E1155" s="26">
        <f>IFERROR(__xludf.DUMMYFUNCTION("""COMPUTED_VALUE"""),141.27814285714288)</f>
        <v>141.2781429</v>
      </c>
      <c r="F1155" s="26">
        <f>IFERROR(__xludf.DUMMYFUNCTION("""COMPUTED_VALUE"""),139.27357142857144)</f>
        <v>139.2735714</v>
      </c>
      <c r="G1155" s="26"/>
    </row>
    <row r="1156">
      <c r="A1156" s="25">
        <f>IFERROR(__xludf.DUMMYFUNCTION("""COMPUTED_VALUE"""),45716.0)</f>
        <v>45716</v>
      </c>
      <c r="B1156" s="26">
        <f>IFERROR(__xludf.DUMMYFUNCTION("""COMPUTED_VALUE"""),134.02)</f>
        <v>134.02</v>
      </c>
      <c r="C1156" s="27">
        <f>IFERROR(__xludf.DUMMYFUNCTION("""COMPUTED_VALUE"""),106.81)</f>
        <v>106.81</v>
      </c>
      <c r="D1156" s="27">
        <f>IFERROR(__xludf.DUMMYFUNCTION("""COMPUTED_VALUE"""),175.0)</f>
        <v>175</v>
      </c>
      <c r="E1156" s="26">
        <f>IFERROR(__xludf.DUMMYFUNCTION("""COMPUTED_VALUE"""),139.4724285714286)</f>
        <v>139.4724286</v>
      </c>
      <c r="F1156" s="26">
        <f>IFERROR(__xludf.DUMMYFUNCTION("""COMPUTED_VALUE"""),137.7382142857143)</f>
        <v>137.7382143</v>
      </c>
      <c r="G1156" s="26"/>
    </row>
    <row r="1157">
      <c r="A1157" s="25">
        <f>IFERROR(__xludf.DUMMYFUNCTION("""COMPUTED_VALUE"""),45717.0)</f>
        <v>45717</v>
      </c>
      <c r="B1157" s="26">
        <f>IFERROR(__xludf.DUMMYFUNCTION("""COMPUTED_VALUE"""),134.02)</f>
        <v>134.02</v>
      </c>
      <c r="C1157" s="27">
        <f>IFERROR(__xludf.DUMMYFUNCTION("""COMPUTED_VALUE"""),106.81)</f>
        <v>106.81</v>
      </c>
      <c r="D1157" s="27">
        <f>IFERROR(__xludf.DUMMYFUNCTION("""COMPUTED_VALUE"""),175.0)</f>
        <v>175</v>
      </c>
      <c r="E1157" s="26">
        <f>IFERROR(__xludf.DUMMYFUNCTION("""COMPUTED_VALUE"""),138.06328571428574)</f>
        <v>138.0632857</v>
      </c>
      <c r="F1157" s="26">
        <f>IFERROR(__xludf.DUMMYFUNCTION("""COMPUTED_VALUE"""),136.20285714285714)</f>
        <v>136.2028571</v>
      </c>
      <c r="G1157" s="26"/>
    </row>
    <row r="1158">
      <c r="A1158" s="25">
        <f>IFERROR(__xludf.DUMMYFUNCTION("""COMPUTED_VALUE"""),45718.0)</f>
        <v>45718</v>
      </c>
      <c r="B1158" s="26">
        <f>IFERROR(__xludf.DUMMYFUNCTION("""COMPUTED_VALUE"""),134.02)</f>
        <v>134.02</v>
      </c>
      <c r="C1158" s="27">
        <f>IFERROR(__xludf.DUMMYFUNCTION("""COMPUTED_VALUE"""),106.81)</f>
        <v>106.81</v>
      </c>
      <c r="D1158" s="27">
        <f>IFERROR(__xludf.DUMMYFUNCTION("""COMPUTED_VALUE"""),175.0)</f>
        <v>175</v>
      </c>
      <c r="E1158" s="26">
        <f>IFERROR(__xludf.DUMMYFUNCTION("""COMPUTED_VALUE"""),134.2274285714286)</f>
        <v>134.2274286</v>
      </c>
      <c r="F1158" s="26">
        <f>IFERROR(__xludf.DUMMYFUNCTION("""COMPUTED_VALUE"""),134.6675)</f>
        <v>134.6675</v>
      </c>
      <c r="G1158" s="26"/>
    </row>
    <row r="1159">
      <c r="A1159" s="25">
        <f>IFERROR(__xludf.DUMMYFUNCTION("""COMPUTED_VALUE"""),45719.0)</f>
        <v>45719</v>
      </c>
      <c r="B1159" s="26">
        <f>IFERROR(__xludf.DUMMYFUNCTION("""COMPUTED_VALUE"""),134.02)</f>
        <v>134.02</v>
      </c>
      <c r="C1159" s="27">
        <f>IFERROR(__xludf.DUMMYFUNCTION("""COMPUTED_VALUE"""),106.81)</f>
        <v>106.81</v>
      </c>
      <c r="D1159" s="27">
        <f>IFERROR(__xludf.DUMMYFUNCTION("""COMPUTED_VALUE"""),175.0)</f>
        <v>175</v>
      </c>
      <c r="E1159" s="26">
        <f>IFERROR(__xludf.DUMMYFUNCTION("""COMPUTED_VALUE"""),132.65200000000002)</f>
        <v>132.652</v>
      </c>
      <c r="F1159" s="26">
        <f>IFERROR(__xludf.DUMMYFUNCTION("""COMPUTED_VALUE"""),132.92928571428573)</f>
        <v>132.9292857</v>
      </c>
      <c r="G1159" s="26"/>
    </row>
    <row r="1160">
      <c r="A1160" s="25">
        <f>IFERROR(__xludf.DUMMYFUNCTION("""COMPUTED_VALUE"""),45720.0)</f>
        <v>45720</v>
      </c>
      <c r="B1160" s="26">
        <f>IFERROR(__xludf.DUMMYFUNCTION("""COMPUTED_VALUE"""),134.02)</f>
        <v>134.02</v>
      </c>
      <c r="C1160" s="27">
        <f>IFERROR(__xludf.DUMMYFUNCTION("""COMPUTED_VALUE"""),106.81)</f>
        <v>106.81</v>
      </c>
      <c r="D1160" s="27">
        <f>IFERROR(__xludf.DUMMYFUNCTION("""COMPUTED_VALUE"""),175.0)</f>
        <v>175</v>
      </c>
      <c r="E1160" s="26">
        <f>IFERROR(__xludf.DUMMYFUNCTION("""COMPUTED_VALUE"""),131.24614285714287)</f>
        <v>131.2461429</v>
      </c>
      <c r="F1160" s="26">
        <f>IFERROR(__xludf.DUMMYFUNCTION("""COMPUTED_VALUE"""),131.19107142857143)</f>
        <v>131.1910714</v>
      </c>
      <c r="G1160" s="26"/>
    </row>
    <row r="1161">
      <c r="A1161" s="25">
        <f>IFERROR(__xludf.DUMMYFUNCTION("""COMPUTED_VALUE"""),45721.0)</f>
        <v>45721</v>
      </c>
      <c r="B1161" s="26">
        <f>IFERROR(__xludf.DUMMYFUNCTION("""COMPUTED_VALUE"""),134.02)</f>
        <v>134.02</v>
      </c>
      <c r="C1161" s="27">
        <f>IFERROR(__xludf.DUMMYFUNCTION("""COMPUTED_VALUE"""),106.81)</f>
        <v>106.81</v>
      </c>
      <c r="D1161" s="27">
        <f>IFERROR(__xludf.DUMMYFUNCTION("""COMPUTED_VALUE"""),175.0)</f>
        <v>175</v>
      </c>
      <c r="E1161" s="26">
        <f>IFERROR(__xludf.DUMMYFUNCTION("""COMPUTED_VALUE"""),129.35917142857141)</f>
        <v>129.3591714</v>
      </c>
      <c r="F1161" s="26">
        <f>IFERROR(__xludf.DUMMYFUNCTION("""COMPUTED_VALUE"""),129.45285714285714)</f>
        <v>129.4528571</v>
      </c>
      <c r="G1161" s="26"/>
    </row>
    <row r="1162">
      <c r="A1162" s="25">
        <f>IFERROR(__xludf.DUMMYFUNCTION("""COMPUTED_VALUE"""),45722.0)</f>
        <v>45722</v>
      </c>
      <c r="B1162" s="26">
        <f>IFERROR(__xludf.DUMMYFUNCTION("""COMPUTED_VALUE"""),134.02)</f>
        <v>134.02</v>
      </c>
      <c r="C1162" s="27">
        <f>IFERROR(__xludf.DUMMYFUNCTION("""COMPUTED_VALUE"""),106.81)</f>
        <v>106.81</v>
      </c>
      <c r="D1162" s="27">
        <f>IFERROR(__xludf.DUMMYFUNCTION("""COMPUTED_VALUE"""),175.0)</f>
        <v>175</v>
      </c>
      <c r="E1162" s="26">
        <f>IFERROR(__xludf.DUMMYFUNCTION("""COMPUTED_VALUE"""),127.94874285714286)</f>
        <v>127.9487429</v>
      </c>
      <c r="F1162" s="26">
        <f>IFERROR(__xludf.DUMMYFUNCTION("""COMPUTED_VALUE"""),127.71464285714285)</f>
        <v>127.7146429</v>
      </c>
      <c r="G1162" s="26"/>
    </row>
    <row r="1163">
      <c r="A1163" s="25">
        <f>IFERROR(__xludf.DUMMYFUNCTION("""COMPUTED_VALUE"""),45723.0)</f>
        <v>45723</v>
      </c>
      <c r="B1163" s="26">
        <f>IFERROR(__xludf.DUMMYFUNCTION("""COMPUTED_VALUE"""),134.02)</f>
        <v>134.02</v>
      </c>
      <c r="C1163" s="27">
        <f>IFERROR(__xludf.DUMMYFUNCTION("""COMPUTED_VALUE"""),106.81)</f>
        <v>106.81</v>
      </c>
      <c r="D1163" s="27">
        <f>IFERROR(__xludf.DUMMYFUNCTION("""COMPUTED_VALUE"""),175.0)</f>
        <v>175</v>
      </c>
      <c r="E1163" s="26">
        <f>IFERROR(__xludf.DUMMYFUNCTION("""COMPUTED_VALUE"""),126.93445714285714)</f>
        <v>126.9344571</v>
      </c>
      <c r="F1163" s="26">
        <f>IFERROR(__xludf.DUMMYFUNCTION("""COMPUTED_VALUE"""),125.97642857142857)</f>
        <v>125.9764286</v>
      </c>
      <c r="G1163" s="26"/>
    </row>
    <row r="1164">
      <c r="A1164" s="25">
        <f>IFERROR(__xludf.DUMMYFUNCTION("""COMPUTED_VALUE"""),45724.0)</f>
        <v>45724</v>
      </c>
      <c r="B1164" s="26">
        <f>IFERROR(__xludf.DUMMYFUNCTION("""COMPUTED_VALUE"""),134.02)</f>
        <v>134.02</v>
      </c>
      <c r="C1164" s="27">
        <f>IFERROR(__xludf.DUMMYFUNCTION("""COMPUTED_VALUE"""),106.81)</f>
        <v>106.81</v>
      </c>
      <c r="D1164" s="27">
        <f>IFERROR(__xludf.DUMMYFUNCTION("""COMPUTED_VALUE"""),175.0)</f>
        <v>175</v>
      </c>
      <c r="E1164" s="26">
        <f>IFERROR(__xludf.DUMMYFUNCTION("""COMPUTED_VALUE"""),123.58096428571427)</f>
        <v>123.5809643</v>
      </c>
      <c r="F1164" s="26">
        <f>IFERROR(__xludf.DUMMYFUNCTION("""COMPUTED_VALUE"""),124.23821428571429)</f>
        <v>124.2382143</v>
      </c>
      <c r="G1164" s="26"/>
    </row>
    <row r="1165">
      <c r="A1165" s="25">
        <f>IFERROR(__xludf.DUMMYFUNCTION("""COMPUTED_VALUE"""),45725.0)</f>
        <v>45725</v>
      </c>
      <c r="B1165" s="26">
        <f>IFERROR(__xludf.DUMMYFUNCTION("""COMPUTED_VALUE"""),134.02)</f>
        <v>134.02</v>
      </c>
      <c r="C1165" s="27">
        <f>IFERROR(__xludf.DUMMYFUNCTION("""COMPUTED_VALUE"""),106.81)</f>
        <v>106.81</v>
      </c>
      <c r="D1165" s="27">
        <f>IFERROR(__xludf.DUMMYFUNCTION("""COMPUTED_VALUE"""),175.0)</f>
        <v>175</v>
      </c>
      <c r="E1165" s="26">
        <f>IFERROR(__xludf.DUMMYFUNCTION("""COMPUTED_VALUE"""),124.32210714285715)</f>
        <v>124.3221071</v>
      </c>
      <c r="F1165" s="26">
        <f>IFERROR(__xludf.DUMMYFUNCTION("""COMPUTED_VALUE"""),122.5)</f>
        <v>122.5</v>
      </c>
      <c r="G1165" s="26"/>
    </row>
    <row r="1166">
      <c r="A1166" s="25">
        <f>IFERROR(__xludf.DUMMYFUNCTION("""COMPUTED_VALUE"""),45726.0)</f>
        <v>45726</v>
      </c>
      <c r="B1166" s="26">
        <f>IFERROR(__xludf.DUMMYFUNCTION("""COMPUTED_VALUE"""),130.3681)</f>
        <v>130.3681</v>
      </c>
      <c r="C1166" s="27">
        <f>IFERROR(__xludf.DUMMYFUNCTION("""COMPUTED_VALUE"""),103.45)</f>
        <v>103.45</v>
      </c>
      <c r="D1166" s="27">
        <f>IFERROR(__xludf.DUMMYFUNCTION("""COMPUTED_VALUE"""),162.045)</f>
        <v>162.045</v>
      </c>
      <c r="E1166" s="26">
        <f>IFERROR(__xludf.DUMMYFUNCTION("""COMPUTED_VALUE"""),123.59570714285715)</f>
        <v>123.5957071</v>
      </c>
      <c r="F1166" s="26">
        <f>IFERROR(__xludf.DUMMYFUNCTION("""COMPUTED_VALUE"""),122.5)</f>
        <v>122.5</v>
      </c>
      <c r="G1166" s="26"/>
    </row>
    <row r="1167">
      <c r="A1167" s="25">
        <f>IFERROR(__xludf.DUMMYFUNCTION("""COMPUTED_VALUE"""),45727.0)</f>
        <v>45727</v>
      </c>
      <c r="B1167" s="26">
        <f>IFERROR(__xludf.DUMMYFUNCTION("""COMPUTED_VALUE"""),130.3681)</f>
        <v>130.3681</v>
      </c>
      <c r="C1167" s="27">
        <f>IFERROR(__xludf.DUMMYFUNCTION("""COMPUTED_VALUE"""),103.45)</f>
        <v>103.45</v>
      </c>
      <c r="D1167" s="27">
        <f>IFERROR(__xludf.DUMMYFUNCTION("""COMPUTED_VALUE"""),162.045)</f>
        <v>162.045</v>
      </c>
      <c r="E1167" s="26">
        <f>IFERROR(__xludf.DUMMYFUNCTION("""COMPUTED_VALUE"""),122.2101357142857)</f>
        <v>122.2101357</v>
      </c>
      <c r="F1167" s="26">
        <f>IFERROR(__xludf.DUMMYFUNCTION("""COMPUTED_VALUE"""),122.5)</f>
        <v>122.5</v>
      </c>
      <c r="G1167" s="26"/>
    </row>
    <row r="1168">
      <c r="A1168" s="25">
        <f>IFERROR(__xludf.DUMMYFUNCTION("""COMPUTED_VALUE"""),45728.0)</f>
        <v>45728</v>
      </c>
      <c r="B1168" s="26">
        <f>IFERROR(__xludf.DUMMYFUNCTION("""COMPUTED_VALUE"""),130.3681)</f>
        <v>130.3681</v>
      </c>
      <c r="C1168" s="27">
        <f>IFERROR(__xludf.DUMMYFUNCTION("""COMPUTED_VALUE"""),103.45)</f>
        <v>103.45</v>
      </c>
      <c r="D1168" s="27">
        <f>IFERROR(__xludf.DUMMYFUNCTION("""COMPUTED_VALUE"""),162.045)</f>
        <v>162.045</v>
      </c>
      <c r="E1168" s="26">
        <f>IFERROR(__xludf.DUMMYFUNCTION("""COMPUTED_VALUE"""),122.14182142857142)</f>
        <v>122.1418214</v>
      </c>
      <c r="F1168" s="26">
        <f>IFERROR(__xludf.DUMMYFUNCTION("""COMPUTED_VALUE"""),122.5)</f>
        <v>122.5</v>
      </c>
      <c r="G1168" s="26"/>
    </row>
    <row r="1169">
      <c r="A1169" s="25">
        <f>IFERROR(__xludf.DUMMYFUNCTION("""COMPUTED_VALUE"""),45729.0)</f>
        <v>45729</v>
      </c>
      <c r="B1169" s="26">
        <f>IFERROR(__xludf.DUMMYFUNCTION("""COMPUTED_VALUE"""),130.3681)</f>
        <v>130.3681</v>
      </c>
      <c r="C1169" s="27">
        <f>IFERROR(__xludf.DUMMYFUNCTION("""COMPUTED_VALUE"""),103.45)</f>
        <v>103.45</v>
      </c>
      <c r="D1169" s="27">
        <f>IFERROR(__xludf.DUMMYFUNCTION("""COMPUTED_VALUE"""),162.045)</f>
        <v>162.045</v>
      </c>
      <c r="E1169" s="26">
        <f>IFERROR(__xludf.DUMMYFUNCTION("""COMPUTED_VALUE"""),121.54367857142856)</f>
        <v>121.5436786</v>
      </c>
      <c r="F1169" s="26">
        <f>IFERROR(__xludf.DUMMYFUNCTION("""COMPUTED_VALUE"""),122.5)</f>
        <v>122.5</v>
      </c>
      <c r="G1169" s="26"/>
    </row>
    <row r="1170">
      <c r="A1170" s="25">
        <f>IFERROR(__xludf.DUMMYFUNCTION("""COMPUTED_VALUE"""),45730.0)</f>
        <v>45730</v>
      </c>
      <c r="B1170" s="26">
        <f>IFERROR(__xludf.DUMMYFUNCTION("""COMPUTED_VALUE"""),130.3681)</f>
        <v>130.3681</v>
      </c>
      <c r="C1170" s="27">
        <f>IFERROR(__xludf.DUMMYFUNCTION("""COMPUTED_VALUE"""),103.45)</f>
        <v>103.45</v>
      </c>
      <c r="D1170" s="27">
        <f>IFERROR(__xludf.DUMMYFUNCTION("""COMPUTED_VALUE"""),162.045)</f>
        <v>162.045</v>
      </c>
      <c r="E1170" s="26">
        <f>IFERROR(__xludf.DUMMYFUNCTION("""COMPUTED_VALUE"""),121.2369642857143)</f>
        <v>121.2369643</v>
      </c>
      <c r="F1170" s="26">
        <f>IFERROR(__xludf.DUMMYFUNCTION("""COMPUTED_VALUE"""),122.5)</f>
        <v>122.5</v>
      </c>
      <c r="G1170" s="26"/>
    </row>
    <row r="1171">
      <c r="A1171" s="25">
        <f>IFERROR(__xludf.DUMMYFUNCTION("""COMPUTED_VALUE"""),45731.0)</f>
        <v>45731</v>
      </c>
      <c r="B1171" s="26">
        <f>IFERROR(__xludf.DUMMYFUNCTION("""COMPUTED_VALUE"""),130.3681)</f>
        <v>130.3681</v>
      </c>
      <c r="C1171" s="27">
        <f>IFERROR(__xludf.DUMMYFUNCTION("""COMPUTED_VALUE"""),103.45)</f>
        <v>103.45</v>
      </c>
      <c r="D1171" s="27">
        <f>IFERROR(__xludf.DUMMYFUNCTION("""COMPUTED_VALUE"""),162.045)</f>
        <v>162.045</v>
      </c>
      <c r="E1171" s="26">
        <f>IFERROR(__xludf.DUMMYFUNCTION("""COMPUTED_VALUE"""),123.10688571428571)</f>
        <v>123.1068857</v>
      </c>
      <c r="F1171" s="26">
        <f>IFERROR(__xludf.DUMMYFUNCTION("""COMPUTED_VALUE"""),122.5)</f>
        <v>122.5</v>
      </c>
      <c r="G1171" s="26"/>
    </row>
    <row r="1172">
      <c r="A1172" s="25">
        <f>IFERROR(__xludf.DUMMYFUNCTION("""COMPUTED_VALUE"""),45732.0)</f>
        <v>45732</v>
      </c>
      <c r="B1172" s="26">
        <f>IFERROR(__xludf.DUMMYFUNCTION("""COMPUTED_VALUE"""),130.3681)</f>
        <v>130.3681</v>
      </c>
      <c r="C1172" s="27">
        <f>IFERROR(__xludf.DUMMYFUNCTION("""COMPUTED_VALUE"""),103.45)</f>
        <v>103.45</v>
      </c>
      <c r="D1172" s="27">
        <f>IFERROR(__xludf.DUMMYFUNCTION("""COMPUTED_VALUE"""),162.045)</f>
        <v>162.045</v>
      </c>
      <c r="E1172" s="26">
        <f>IFERROR(__xludf.DUMMYFUNCTION("""COMPUTED_VALUE"""),119.42924285714285)</f>
        <v>119.4292429</v>
      </c>
      <c r="F1172" s="26">
        <f>IFERROR(__xludf.DUMMYFUNCTION("""COMPUTED_VALUE"""),122.5)</f>
        <v>122.5</v>
      </c>
      <c r="G1172" s="26"/>
    </row>
    <row r="1173">
      <c r="A1173" s="25">
        <f>IFERROR(__xludf.DUMMYFUNCTION("""COMPUTED_VALUE"""),45733.0)</f>
        <v>45733</v>
      </c>
      <c r="B1173" s="26">
        <f>IFERROR(__xludf.DUMMYFUNCTION("""COMPUTED_VALUE"""),130.3681)</f>
        <v>130.3681</v>
      </c>
      <c r="C1173" s="27">
        <f>IFERROR(__xludf.DUMMYFUNCTION("""COMPUTED_VALUE"""),103.45)</f>
        <v>103.45</v>
      </c>
      <c r="D1173" s="27">
        <f>IFERROR(__xludf.DUMMYFUNCTION("""COMPUTED_VALUE"""),162.045)</f>
        <v>162.045</v>
      </c>
      <c r="E1173" s="26">
        <f>IFERROR(__xludf.DUMMYFUNCTION("""COMPUTED_VALUE"""),118.73564285714285)</f>
        <v>118.7356429</v>
      </c>
      <c r="F1173" s="26">
        <f>IFERROR(__xludf.DUMMYFUNCTION("""COMPUTED_VALUE"""),122.5)</f>
        <v>122.5</v>
      </c>
      <c r="G1173" s="26"/>
    </row>
    <row r="1174">
      <c r="A1174" s="25">
        <f>IFERROR(__xludf.DUMMYFUNCTION("""COMPUTED_VALUE"""),45734.0)</f>
        <v>45734</v>
      </c>
      <c r="B1174" s="26">
        <f>IFERROR(__xludf.DUMMYFUNCTION("""COMPUTED_VALUE"""),130.3681)</f>
        <v>130.3681</v>
      </c>
      <c r="C1174" s="27">
        <f>IFERROR(__xludf.DUMMYFUNCTION("""COMPUTED_VALUE"""),103.45)</f>
        <v>103.45</v>
      </c>
      <c r="D1174" s="27">
        <f>IFERROR(__xludf.DUMMYFUNCTION("""COMPUTED_VALUE"""),162.045)</f>
        <v>162.045</v>
      </c>
      <c r="E1174" s="26">
        <f>IFERROR(__xludf.DUMMYFUNCTION("""COMPUTED_VALUE"""),117.74134285714285)</f>
        <v>117.7413429</v>
      </c>
      <c r="F1174" s="26">
        <f>IFERROR(__xludf.DUMMYFUNCTION("""COMPUTED_VALUE"""),122.5)</f>
        <v>122.5</v>
      </c>
      <c r="G1174" s="26"/>
    </row>
    <row r="1175">
      <c r="A1175" s="25">
        <f>IFERROR(__xludf.DUMMYFUNCTION("""COMPUTED_VALUE"""),45735.0)</f>
        <v>45735</v>
      </c>
      <c r="B1175" s="26">
        <f>IFERROR(__xludf.DUMMYFUNCTION("""COMPUTED_VALUE"""),130.3681)</f>
        <v>130.3681</v>
      </c>
      <c r="C1175" s="27">
        <f>IFERROR(__xludf.DUMMYFUNCTION("""COMPUTED_VALUE"""),103.45)</f>
        <v>103.45</v>
      </c>
      <c r="D1175" s="27">
        <f>IFERROR(__xludf.DUMMYFUNCTION("""COMPUTED_VALUE"""),162.045)</f>
        <v>162.045</v>
      </c>
      <c r="E1175" s="26">
        <f>IFERROR(__xludf.DUMMYFUNCTION("""COMPUTED_VALUE"""),117.09841428571427)</f>
        <v>117.0984143</v>
      </c>
      <c r="F1175" s="26">
        <f>IFERROR(__xludf.DUMMYFUNCTION("""COMPUTED_VALUE"""),122.5)</f>
        <v>122.5</v>
      </c>
      <c r="G1175" s="26"/>
    </row>
    <row r="1176">
      <c r="A1176" s="25">
        <f>IFERROR(__xludf.DUMMYFUNCTION("""COMPUTED_VALUE"""),45736.0)</f>
        <v>45736</v>
      </c>
      <c r="B1176" s="26">
        <f>IFERROR(__xludf.DUMMYFUNCTION("""COMPUTED_VALUE"""),130.3681)</f>
        <v>130.3681</v>
      </c>
      <c r="C1176" s="27">
        <f>IFERROR(__xludf.DUMMYFUNCTION("""COMPUTED_VALUE"""),103.45)</f>
        <v>103.45</v>
      </c>
      <c r="D1176" s="27">
        <f>IFERROR(__xludf.DUMMYFUNCTION("""COMPUTED_VALUE"""),162.045)</f>
        <v>162.045</v>
      </c>
      <c r="E1176" s="26">
        <f>IFERROR(__xludf.DUMMYFUNCTION("""COMPUTED_VALUE"""),117.71154285714286)</f>
        <v>117.7115429</v>
      </c>
      <c r="F1176" s="26">
        <f>IFERROR(__xludf.DUMMYFUNCTION("""COMPUTED_VALUE"""),122.5)</f>
        <v>122.5</v>
      </c>
      <c r="G1176" s="26"/>
    </row>
    <row r="1177">
      <c r="A1177" s="25">
        <f>IFERROR(__xludf.DUMMYFUNCTION("""COMPUTED_VALUE"""),45737.0)</f>
        <v>45737</v>
      </c>
      <c r="B1177" s="26">
        <f>IFERROR(__xludf.DUMMYFUNCTION("""COMPUTED_VALUE"""),130.3681)</f>
        <v>130.3681</v>
      </c>
      <c r="C1177" s="27">
        <f>IFERROR(__xludf.DUMMYFUNCTION("""COMPUTED_VALUE"""),103.45)</f>
        <v>103.45</v>
      </c>
      <c r="D1177" s="27">
        <f>IFERROR(__xludf.DUMMYFUNCTION("""COMPUTED_VALUE"""),162.045)</f>
        <v>162.045</v>
      </c>
      <c r="E1177" s="26">
        <f>IFERROR(__xludf.DUMMYFUNCTION("""COMPUTED_VALUE"""),118.71974285714285)</f>
        <v>118.7197429</v>
      </c>
      <c r="F1177" s="26">
        <f>IFERROR(__xludf.DUMMYFUNCTION("""COMPUTED_VALUE"""),122.5)</f>
        <v>122.5</v>
      </c>
      <c r="G1177" s="26"/>
    </row>
    <row r="1178">
      <c r="A1178" s="25">
        <f>IFERROR(__xludf.DUMMYFUNCTION("""COMPUTED_VALUE"""),45738.0)</f>
        <v>45738</v>
      </c>
      <c r="B1178" s="26">
        <f>IFERROR(__xludf.DUMMYFUNCTION("""COMPUTED_VALUE"""),130.3681)</f>
        <v>130.3681</v>
      </c>
      <c r="C1178" s="27">
        <f>IFERROR(__xludf.DUMMYFUNCTION("""COMPUTED_VALUE"""),103.45)</f>
        <v>103.45</v>
      </c>
      <c r="D1178" s="27">
        <f>IFERROR(__xludf.DUMMYFUNCTION("""COMPUTED_VALUE"""),162.045)</f>
        <v>162.045</v>
      </c>
      <c r="E1178" s="26">
        <f>IFERROR(__xludf.DUMMYFUNCTION("""COMPUTED_VALUE"""),119.62117142857144)</f>
        <v>119.6211714</v>
      </c>
      <c r="F1178" s="26">
        <f>IFERROR(__xludf.DUMMYFUNCTION("""COMPUTED_VALUE"""),122.5)</f>
        <v>122.5</v>
      </c>
      <c r="G1178" s="26"/>
    </row>
    <row r="1179">
      <c r="A1179" s="25">
        <f>IFERROR(__xludf.DUMMYFUNCTION("""COMPUTED_VALUE"""),45739.0)</f>
        <v>45739</v>
      </c>
      <c r="B1179" s="26">
        <f>IFERROR(__xludf.DUMMYFUNCTION("""COMPUTED_VALUE"""),130.3681)</f>
        <v>130.3681</v>
      </c>
      <c r="C1179" s="27">
        <f>IFERROR(__xludf.DUMMYFUNCTION("""COMPUTED_VALUE"""),103.45)</f>
        <v>103.45</v>
      </c>
      <c r="D1179" s="27">
        <f>IFERROR(__xludf.DUMMYFUNCTION("""COMPUTED_VALUE"""),162.045)</f>
        <v>162.045</v>
      </c>
      <c r="E1179" s="26">
        <f>IFERROR(__xludf.DUMMYFUNCTION("""COMPUTED_VALUE"""),124.67290000000001)</f>
        <v>124.6729</v>
      </c>
      <c r="F1179" s="26">
        <f>IFERROR(__xludf.DUMMYFUNCTION("""COMPUTED_VALUE"""),122.5)</f>
        <v>122.5</v>
      </c>
      <c r="G1179" s="26"/>
    </row>
    <row r="1180">
      <c r="A1180" s="25">
        <f>IFERROR(__xludf.DUMMYFUNCTION("""COMPUTED_VALUE"""),45740.0)</f>
        <v>45740</v>
      </c>
      <c r="B1180" s="26">
        <f>IFERROR(__xludf.DUMMYFUNCTION("""COMPUTED_VALUE"""),127.84)</f>
        <v>127.84</v>
      </c>
      <c r="C1180" s="27">
        <f>IFERROR(__xludf.DUMMYFUNCTION("""COMPUTED_VALUE"""),98.45)</f>
        <v>98.45</v>
      </c>
      <c r="D1180" s="27">
        <f>IFERROR(__xludf.DUMMYFUNCTION("""COMPUTED_VALUE"""),158.4)</f>
        <v>158.4</v>
      </c>
      <c r="E1180" s="26">
        <f>IFERROR(__xludf.DUMMYFUNCTION("""COMPUTED_VALUE"""),125.9988342857143)</f>
        <v>125.9988343</v>
      </c>
      <c r="F1180" s="26">
        <f>IFERROR(__xludf.DUMMYFUNCTION("""COMPUTED_VALUE"""),122.4447142857143)</f>
        <v>122.4447143</v>
      </c>
      <c r="G1180" s="26"/>
    </row>
    <row r="1181">
      <c r="A1181" s="25">
        <f>IFERROR(__xludf.DUMMYFUNCTION("""COMPUTED_VALUE"""),45741.0)</f>
        <v>45741</v>
      </c>
      <c r="B1181" s="26">
        <f>IFERROR(__xludf.DUMMYFUNCTION("""COMPUTED_VALUE"""),127.84)</f>
        <v>127.84</v>
      </c>
      <c r="C1181" s="27">
        <f>IFERROR(__xludf.DUMMYFUNCTION("""COMPUTED_VALUE"""),98.45)</f>
        <v>98.45</v>
      </c>
      <c r="D1181" s="27">
        <f>IFERROR(__xludf.DUMMYFUNCTION("""COMPUTED_VALUE"""),158.4)</f>
        <v>158.4</v>
      </c>
      <c r="E1181" s="26">
        <f>IFERROR(__xludf.DUMMYFUNCTION("""COMPUTED_VALUE"""),127.04356285714287)</f>
        <v>127.0435629</v>
      </c>
      <c r="F1181" s="26">
        <f>IFERROR(__xludf.DUMMYFUNCTION("""COMPUTED_VALUE"""),122.38942857142858)</f>
        <v>122.3894286</v>
      </c>
      <c r="G1181" s="26"/>
    </row>
    <row r="1182">
      <c r="A1182" s="25">
        <f>IFERROR(__xludf.DUMMYFUNCTION("""COMPUTED_VALUE"""),45742.0)</f>
        <v>45742</v>
      </c>
      <c r="B1182" s="26">
        <f>IFERROR(__xludf.DUMMYFUNCTION("""COMPUTED_VALUE"""),127.84)</f>
        <v>127.84</v>
      </c>
      <c r="C1182" s="27">
        <f>IFERROR(__xludf.DUMMYFUNCTION("""COMPUTED_VALUE"""),98.45)</f>
        <v>98.45</v>
      </c>
      <c r="D1182" s="27">
        <f>IFERROR(__xludf.DUMMYFUNCTION("""COMPUTED_VALUE"""),158.4)</f>
        <v>158.4</v>
      </c>
      <c r="E1182" s="26">
        <f>IFERROR(__xludf.DUMMYFUNCTION("""COMPUTED_VALUE"""),127.26320571428572)</f>
        <v>127.2632057</v>
      </c>
      <c r="F1182" s="26">
        <f>IFERROR(__xludf.DUMMYFUNCTION("""COMPUTED_VALUE"""),122.33414285714288)</f>
        <v>122.3341429</v>
      </c>
      <c r="G1182" s="26"/>
    </row>
    <row r="1183">
      <c r="A1183" s="25">
        <f>IFERROR(__xludf.DUMMYFUNCTION("""COMPUTED_VALUE"""),45743.0)</f>
        <v>45743</v>
      </c>
      <c r="B1183" s="26">
        <f>IFERROR(__xludf.DUMMYFUNCTION("""COMPUTED_VALUE"""),127.84)</f>
        <v>127.84</v>
      </c>
      <c r="C1183" s="27">
        <f>IFERROR(__xludf.DUMMYFUNCTION("""COMPUTED_VALUE"""),98.45)</f>
        <v>98.45</v>
      </c>
      <c r="D1183" s="27">
        <f>IFERROR(__xludf.DUMMYFUNCTION("""COMPUTED_VALUE"""),158.4)</f>
        <v>158.4</v>
      </c>
      <c r="E1183" s="26">
        <f>IFERROR(__xludf.DUMMYFUNCTION("""COMPUTED_VALUE"""),127.12864857142858)</f>
        <v>127.1286486</v>
      </c>
      <c r="F1183" s="26">
        <f>IFERROR(__xludf.DUMMYFUNCTION("""COMPUTED_VALUE"""),122.27885714285715)</f>
        <v>122.2788571</v>
      </c>
      <c r="G1183" s="26"/>
    </row>
    <row r="1184">
      <c r="A1184" s="25">
        <f>IFERROR(__xludf.DUMMYFUNCTION("""COMPUTED_VALUE"""),45744.0)</f>
        <v>45744</v>
      </c>
      <c r="B1184" s="26">
        <f>IFERROR(__xludf.DUMMYFUNCTION("""COMPUTED_VALUE"""),127.84)</f>
        <v>127.84</v>
      </c>
      <c r="C1184" s="27">
        <f>IFERROR(__xludf.DUMMYFUNCTION("""COMPUTED_VALUE"""),98.45)</f>
        <v>98.45</v>
      </c>
      <c r="D1184" s="27">
        <f>IFERROR(__xludf.DUMMYFUNCTION("""COMPUTED_VALUE"""),158.4)</f>
        <v>158.4</v>
      </c>
      <c r="E1184" s="26">
        <f>IFERROR(__xludf.DUMMYFUNCTION("""COMPUTED_VALUE"""),124.98044857142858)</f>
        <v>124.9804486</v>
      </c>
      <c r="F1184" s="26">
        <f>IFERROR(__xludf.DUMMYFUNCTION("""COMPUTED_VALUE"""),122.22357142857143)</f>
        <v>122.2235714</v>
      </c>
      <c r="G1184" s="26"/>
    </row>
    <row r="1185">
      <c r="A1185" s="25">
        <f>IFERROR(__xludf.DUMMYFUNCTION("""COMPUTED_VALUE"""),45745.0)</f>
        <v>45745</v>
      </c>
      <c r="B1185" s="26">
        <f>IFERROR(__xludf.DUMMYFUNCTION("""COMPUTED_VALUE"""),127.84)</f>
        <v>127.84</v>
      </c>
      <c r="C1185" s="27">
        <f>IFERROR(__xludf.DUMMYFUNCTION("""COMPUTED_VALUE"""),98.45)</f>
        <v>98.45</v>
      </c>
      <c r="D1185" s="27">
        <f>IFERROR(__xludf.DUMMYFUNCTION("""COMPUTED_VALUE"""),158.4)</f>
        <v>158.4</v>
      </c>
      <c r="E1185" s="26">
        <f>IFERROR(__xludf.DUMMYFUNCTION("""COMPUTED_VALUE"""),124.63759142857144)</f>
        <v>124.6375914</v>
      </c>
      <c r="F1185" s="26">
        <f>IFERROR(__xludf.DUMMYFUNCTION("""COMPUTED_VALUE"""),122.16828571428573)</f>
        <v>122.1682857</v>
      </c>
      <c r="G1185" s="26"/>
    </row>
    <row r="1186">
      <c r="A1186" s="25">
        <f>IFERROR(__xludf.DUMMYFUNCTION("""COMPUTED_VALUE"""),45746.0)</f>
        <v>45746</v>
      </c>
      <c r="B1186" s="26">
        <f>IFERROR(__xludf.DUMMYFUNCTION("""COMPUTED_VALUE"""),127.84)</f>
        <v>127.84</v>
      </c>
      <c r="C1186" s="27">
        <f>IFERROR(__xludf.DUMMYFUNCTION("""COMPUTED_VALUE"""),98.45)</f>
        <v>98.45</v>
      </c>
      <c r="D1186" s="27">
        <f>IFERROR(__xludf.DUMMYFUNCTION("""COMPUTED_VALUE"""),158.4)</f>
        <v>158.4</v>
      </c>
      <c r="E1186" s="26">
        <f>IFERROR(__xludf.DUMMYFUNCTION("""COMPUTED_VALUE"""),120.05150571428574)</f>
        <v>120.0515057</v>
      </c>
      <c r="F1186" s="26">
        <f>IFERROR(__xludf.DUMMYFUNCTION("""COMPUTED_VALUE"""),122.11300000000003)</f>
        <v>122.113</v>
      </c>
      <c r="G1186" s="26"/>
    </row>
    <row r="1187">
      <c r="A1187" s="25">
        <f>IFERROR(__xludf.DUMMYFUNCTION("""COMPUTED_VALUE"""),45747.0)</f>
        <v>45747</v>
      </c>
      <c r="B1187" s="26">
        <f>IFERROR(__xludf.DUMMYFUNCTION("""COMPUTED_VALUE"""),127.84)</f>
        <v>127.84</v>
      </c>
      <c r="C1187" s="27">
        <f>IFERROR(__xludf.DUMMYFUNCTION("""COMPUTED_VALUE"""),98.45)</f>
        <v>98.45</v>
      </c>
      <c r="D1187" s="27">
        <f>IFERROR(__xludf.DUMMYFUNCTION("""COMPUTED_VALUE"""),158.4)</f>
        <v>158.4</v>
      </c>
      <c r="E1187" s="26">
        <f>IFERROR(__xludf.DUMMYFUNCTION("""COMPUTED_VALUE"""),118.30714285714286)</f>
        <v>118.3071429</v>
      </c>
      <c r="F1187" s="26">
        <f>IFERROR(__xludf.DUMMYFUNCTION("""COMPUTED_VALUE"""),122.11300000000003)</f>
        <v>122.113</v>
      </c>
      <c r="G1187" s="26"/>
    </row>
    <row r="1188">
      <c r="A1188" s="28"/>
      <c r="B1188" s="26"/>
      <c r="C1188" s="27"/>
      <c r="D1188" s="27"/>
      <c r="E1188" s="26"/>
      <c r="F1188" s="26"/>
      <c r="G1188" s="26"/>
    </row>
    <row r="1189">
      <c r="A1189" s="28"/>
      <c r="B1189" s="26"/>
      <c r="C1189" s="27"/>
      <c r="D1189" s="27"/>
      <c r="E1189" s="26"/>
      <c r="F1189" s="26"/>
      <c r="G1189" s="26"/>
    </row>
    <row r="1190">
      <c r="A1190" s="28"/>
      <c r="B1190" s="26"/>
      <c r="C1190" s="27"/>
      <c r="D1190" s="27"/>
      <c r="E1190" s="26"/>
      <c r="F1190" s="26"/>
      <c r="G1190" s="26"/>
    </row>
    <row r="1191">
      <c r="A1191" s="28"/>
      <c r="B1191" s="26"/>
      <c r="C1191" s="27"/>
      <c r="D1191" s="27"/>
      <c r="E1191" s="26"/>
      <c r="F1191" s="26"/>
      <c r="G1191" s="26"/>
    </row>
    <row r="1192">
      <c r="A1192" s="28"/>
      <c r="B1192" s="26"/>
      <c r="C1192" s="27"/>
      <c r="D1192" s="27"/>
      <c r="E1192" s="26"/>
      <c r="F1192" s="26"/>
      <c r="G1192" s="26"/>
    </row>
    <row r="1193">
      <c r="A1193" s="28"/>
      <c r="B1193" s="26"/>
      <c r="C1193" s="27"/>
      <c r="D1193" s="27"/>
      <c r="E1193" s="26"/>
      <c r="F1193" s="26"/>
      <c r="G1193" s="26"/>
    </row>
    <row r="1194">
      <c r="A1194" s="28"/>
      <c r="B1194" s="26"/>
      <c r="C1194" s="27"/>
      <c r="D1194" s="27"/>
      <c r="E1194" s="26"/>
      <c r="F1194" s="26"/>
      <c r="G1194" s="26"/>
    </row>
    <row r="1195">
      <c r="A1195" s="28"/>
      <c r="B1195" s="26"/>
      <c r="C1195" s="27"/>
      <c r="D1195" s="27"/>
      <c r="E1195" s="26"/>
      <c r="F1195" s="26"/>
      <c r="G1195" s="26"/>
    </row>
    <row r="1196">
      <c r="A1196" s="28"/>
      <c r="B1196" s="26"/>
      <c r="C1196" s="27"/>
      <c r="D1196" s="27"/>
      <c r="E1196" s="26"/>
      <c r="F1196" s="26"/>
      <c r="G1196" s="26"/>
    </row>
    <row r="1197">
      <c r="A1197" s="28"/>
      <c r="B1197" s="26"/>
      <c r="C1197" s="27"/>
      <c r="D1197" s="27"/>
      <c r="E1197" s="26"/>
      <c r="F1197" s="26"/>
      <c r="G1197" s="26"/>
    </row>
    <row r="1198">
      <c r="A1198" s="28"/>
      <c r="B1198" s="26"/>
      <c r="C1198" s="27"/>
      <c r="D1198" s="27"/>
      <c r="E1198" s="26"/>
      <c r="F1198" s="26"/>
      <c r="G1198" s="26"/>
    </row>
    <row r="1199">
      <c r="A1199" s="28"/>
      <c r="B1199" s="26"/>
      <c r="C1199" s="27"/>
      <c r="D1199" s="27"/>
      <c r="E1199" s="26"/>
      <c r="F1199" s="26"/>
      <c r="G1199" s="26"/>
    </row>
    <row r="1200">
      <c r="A1200" s="28"/>
      <c r="B1200" s="26"/>
      <c r="C1200" s="27"/>
      <c r="D1200" s="27"/>
      <c r="E1200" s="26"/>
      <c r="F1200" s="26"/>
      <c r="G1200" s="26"/>
    </row>
    <row r="1201">
      <c r="A1201" s="28"/>
      <c r="B1201" s="26"/>
      <c r="C1201" s="27"/>
      <c r="D1201" s="27"/>
      <c r="E1201" s="26"/>
      <c r="F1201" s="26"/>
      <c r="G1201" s="26"/>
    </row>
    <row r="1202">
      <c r="A1202" s="28"/>
      <c r="B1202" s="26"/>
      <c r="C1202" s="27"/>
      <c r="D1202" s="27"/>
      <c r="E1202" s="26"/>
      <c r="F1202" s="26"/>
      <c r="G1202" s="26"/>
    </row>
    <row r="1203">
      <c r="A1203" s="28"/>
      <c r="B1203" s="26"/>
      <c r="C1203" s="27"/>
      <c r="D1203" s="27"/>
      <c r="E1203" s="26"/>
      <c r="F1203" s="26"/>
      <c r="G1203" s="26"/>
    </row>
    <row r="1204">
      <c r="A1204" s="28"/>
      <c r="B1204" s="26"/>
      <c r="C1204" s="27"/>
      <c r="D1204" s="27"/>
      <c r="E1204" s="26"/>
      <c r="F1204" s="26"/>
      <c r="G1204" s="26"/>
    </row>
    <row r="1205">
      <c r="A1205" s="28"/>
      <c r="B1205" s="26"/>
      <c r="C1205" s="27"/>
      <c r="D1205" s="27"/>
      <c r="E1205" s="26"/>
      <c r="F1205" s="26"/>
      <c r="G1205" s="26"/>
    </row>
    <row r="1206">
      <c r="A1206" s="28"/>
      <c r="B1206" s="26"/>
      <c r="C1206" s="27"/>
      <c r="D1206" s="27"/>
      <c r="E1206" s="26"/>
      <c r="F1206" s="26"/>
      <c r="G1206" s="26"/>
    </row>
    <row r="1207">
      <c r="A1207" s="28"/>
      <c r="B1207" s="26"/>
      <c r="C1207" s="27"/>
      <c r="D1207" s="27"/>
      <c r="E1207" s="26"/>
      <c r="F1207" s="26"/>
      <c r="G1207" s="26"/>
    </row>
    <row r="1208">
      <c r="A1208" s="28"/>
      <c r="B1208" s="26"/>
      <c r="C1208" s="27"/>
      <c r="D1208" s="27"/>
      <c r="E1208" s="26"/>
      <c r="F1208" s="26"/>
      <c r="G1208" s="26"/>
    </row>
    <row r="1209">
      <c r="A1209" s="28"/>
      <c r="B1209" s="26"/>
      <c r="C1209" s="27"/>
      <c r="D1209" s="27"/>
      <c r="E1209" s="26"/>
      <c r="F1209" s="26"/>
      <c r="G1209" s="26"/>
    </row>
    <row r="1210">
      <c r="A1210" s="28"/>
      <c r="B1210" s="26"/>
      <c r="C1210" s="27"/>
      <c r="D1210" s="27"/>
      <c r="E1210" s="26"/>
      <c r="F1210" s="26"/>
      <c r="G1210" s="26"/>
    </row>
    <row r="1211">
      <c r="A1211" s="28"/>
      <c r="B1211" s="26"/>
      <c r="C1211" s="27"/>
      <c r="D1211" s="27"/>
      <c r="E1211" s="26"/>
      <c r="F1211" s="26"/>
      <c r="G1211" s="26"/>
    </row>
    <row r="1212">
      <c r="A1212" s="28"/>
      <c r="B1212" s="26"/>
      <c r="C1212" s="27"/>
      <c r="D1212" s="27"/>
      <c r="E1212" s="26"/>
      <c r="F1212" s="26"/>
      <c r="G1212" s="26"/>
    </row>
    <row r="1213">
      <c r="A1213" s="28"/>
      <c r="B1213" s="26"/>
      <c r="C1213" s="27"/>
      <c r="D1213" s="27"/>
      <c r="E1213" s="26"/>
      <c r="F1213" s="26"/>
      <c r="G1213" s="26"/>
    </row>
    <row r="1214">
      <c r="A1214" s="28"/>
      <c r="B1214" s="26"/>
      <c r="C1214" s="27"/>
      <c r="D1214" s="27"/>
      <c r="E1214" s="26"/>
      <c r="F1214" s="26"/>
      <c r="G1214" s="26"/>
    </row>
    <row r="1215">
      <c r="A1215" s="28"/>
      <c r="B1215" s="26"/>
      <c r="C1215" s="27"/>
      <c r="D1215" s="27"/>
      <c r="E1215" s="26"/>
      <c r="F1215" s="26"/>
      <c r="G1215" s="26"/>
    </row>
    <row r="1216">
      <c r="A1216" s="28"/>
      <c r="B1216" s="26"/>
      <c r="C1216" s="27"/>
      <c r="D1216" s="27"/>
      <c r="E1216" s="26"/>
      <c r="F1216" s="26"/>
      <c r="G1216" s="26"/>
    </row>
    <row r="1217">
      <c r="A1217" s="28"/>
      <c r="B1217" s="26"/>
      <c r="C1217" s="27"/>
      <c r="D1217" s="27"/>
      <c r="E1217" s="26"/>
      <c r="F1217" s="26"/>
      <c r="G1217" s="26"/>
    </row>
    <row r="1218">
      <c r="A1218" s="28"/>
      <c r="B1218" s="26"/>
      <c r="C1218" s="27"/>
      <c r="D1218" s="27"/>
      <c r="E1218" s="26"/>
      <c r="F1218" s="26"/>
      <c r="G1218" s="26"/>
    </row>
    <row r="1219">
      <c r="A1219" s="28"/>
      <c r="B1219" s="26"/>
      <c r="C1219" s="27"/>
      <c r="D1219" s="27"/>
      <c r="E1219" s="26"/>
      <c r="F1219" s="26"/>
      <c r="G1219" s="26"/>
    </row>
    <row r="1220">
      <c r="A1220" s="28"/>
      <c r="B1220" s="26"/>
      <c r="C1220" s="27"/>
      <c r="D1220" s="27"/>
      <c r="E1220" s="26"/>
      <c r="F1220" s="26"/>
      <c r="G1220" s="26"/>
    </row>
    <row r="1221">
      <c r="A1221" s="28"/>
      <c r="B1221" s="26"/>
      <c r="C1221" s="27"/>
      <c r="D1221" s="27"/>
      <c r="E1221" s="26"/>
      <c r="F1221" s="26"/>
      <c r="G1221" s="26"/>
    </row>
    <row r="1222">
      <c r="A1222" s="28"/>
      <c r="B1222" s="26"/>
      <c r="C1222" s="27"/>
      <c r="D1222" s="27"/>
      <c r="E1222" s="26"/>
      <c r="F1222" s="26"/>
      <c r="G1222" s="26"/>
    </row>
    <row r="1223">
      <c r="A1223" s="28"/>
      <c r="B1223" s="26"/>
      <c r="C1223" s="27"/>
      <c r="D1223" s="27"/>
      <c r="E1223" s="26"/>
      <c r="F1223" s="26"/>
      <c r="G1223" s="26"/>
    </row>
    <row r="1224">
      <c r="A1224" s="28"/>
      <c r="B1224" s="26"/>
      <c r="C1224" s="27"/>
      <c r="D1224" s="27"/>
      <c r="E1224" s="26"/>
      <c r="F1224" s="26"/>
      <c r="G1224" s="26"/>
    </row>
    <row r="1225">
      <c r="A1225" s="28"/>
      <c r="B1225" s="26"/>
      <c r="C1225" s="27"/>
      <c r="D1225" s="27"/>
      <c r="E1225" s="26"/>
      <c r="F1225" s="26"/>
      <c r="G1225" s="26"/>
    </row>
    <row r="1226">
      <c r="A1226" s="28"/>
      <c r="B1226" s="26"/>
      <c r="C1226" s="27"/>
      <c r="D1226" s="27"/>
      <c r="E1226" s="26"/>
      <c r="F1226" s="26"/>
      <c r="G1226" s="26"/>
    </row>
    <row r="1227">
      <c r="A1227" s="28"/>
      <c r="B1227" s="26"/>
      <c r="C1227" s="27"/>
      <c r="D1227" s="27"/>
      <c r="E1227" s="26"/>
      <c r="F1227" s="26"/>
      <c r="G1227" s="26"/>
    </row>
    <row r="1228">
      <c r="A1228" s="28"/>
      <c r="B1228" s="26"/>
      <c r="C1228" s="27"/>
      <c r="D1228" s="27"/>
      <c r="E1228" s="26"/>
      <c r="F1228" s="26"/>
      <c r="G1228" s="26"/>
    </row>
    <row r="1229">
      <c r="A1229" s="28"/>
      <c r="B1229" s="26"/>
      <c r="C1229" s="27"/>
      <c r="D1229" s="27"/>
      <c r="E1229" s="26"/>
      <c r="F1229" s="26"/>
      <c r="G1229" s="26"/>
    </row>
    <row r="1230">
      <c r="A1230" s="28"/>
      <c r="B1230" s="26"/>
      <c r="C1230" s="27"/>
      <c r="D1230" s="27"/>
      <c r="E1230" s="26"/>
      <c r="F1230" s="26"/>
      <c r="G1230" s="26"/>
    </row>
    <row r="1231">
      <c r="A1231" s="28"/>
      <c r="B1231" s="26"/>
      <c r="C1231" s="27"/>
      <c r="D1231" s="27"/>
      <c r="E1231" s="26"/>
      <c r="F1231" s="26"/>
      <c r="G1231" s="26"/>
    </row>
    <row r="1232">
      <c r="A1232" s="28"/>
      <c r="B1232" s="26"/>
      <c r="C1232" s="27"/>
      <c r="D1232" s="27"/>
      <c r="E1232" s="26"/>
      <c r="F1232" s="26"/>
      <c r="G1232" s="26"/>
    </row>
    <row r="1233">
      <c r="A1233" s="28"/>
      <c r="B1233" s="26"/>
      <c r="C1233" s="27"/>
      <c r="D1233" s="27"/>
      <c r="E1233" s="26"/>
      <c r="F1233" s="26"/>
      <c r="G1233" s="26"/>
    </row>
    <row r="1234">
      <c r="A1234" s="28"/>
      <c r="B1234" s="26"/>
      <c r="C1234" s="27"/>
      <c r="D1234" s="27"/>
      <c r="E1234" s="26"/>
      <c r="F1234" s="26"/>
      <c r="G1234" s="26"/>
    </row>
    <row r="1235">
      <c r="A1235" s="28"/>
      <c r="B1235" s="26"/>
      <c r="C1235" s="27"/>
      <c r="D1235" s="27"/>
      <c r="E1235" s="26"/>
      <c r="F1235" s="26"/>
      <c r="G1235" s="26"/>
    </row>
    <row r="1236">
      <c r="A1236" s="28"/>
      <c r="B1236" s="26"/>
      <c r="C1236" s="27"/>
      <c r="D1236" s="27"/>
      <c r="E1236" s="26"/>
      <c r="F1236" s="26"/>
      <c r="G1236" s="26"/>
    </row>
    <row r="1237">
      <c r="A1237" s="28"/>
      <c r="B1237" s="26"/>
      <c r="C1237" s="27"/>
      <c r="D1237" s="27"/>
      <c r="E1237" s="26"/>
      <c r="F1237" s="26"/>
      <c r="G1237" s="26"/>
    </row>
    <row r="1238">
      <c r="A1238" s="28"/>
      <c r="B1238" s="26"/>
      <c r="C1238" s="27"/>
      <c r="D1238" s="27"/>
      <c r="E1238" s="26"/>
      <c r="F1238" s="26"/>
      <c r="G1238" s="26"/>
    </row>
    <row r="1239">
      <c r="A1239" s="28"/>
      <c r="B1239" s="26"/>
      <c r="C1239" s="27"/>
      <c r="D1239" s="27"/>
      <c r="E1239" s="26"/>
      <c r="F1239" s="26"/>
      <c r="G1239" s="26"/>
    </row>
    <row r="1240">
      <c r="A1240" s="28"/>
      <c r="B1240" s="26"/>
      <c r="C1240" s="27"/>
      <c r="D1240" s="27"/>
      <c r="E1240" s="26"/>
      <c r="F1240" s="26"/>
      <c r="G1240" s="26"/>
    </row>
    <row r="1241">
      <c r="A1241" s="28"/>
      <c r="B1241" s="26"/>
      <c r="C1241" s="27"/>
      <c r="D1241" s="27"/>
      <c r="E1241" s="26"/>
      <c r="F1241" s="26"/>
      <c r="G1241" s="26"/>
    </row>
    <row r="1242">
      <c r="A1242" s="28"/>
      <c r="B1242" s="26"/>
      <c r="C1242" s="27"/>
      <c r="D1242" s="27"/>
      <c r="E1242" s="26"/>
      <c r="F1242" s="26"/>
      <c r="G1242" s="26"/>
    </row>
    <row r="1243">
      <c r="A1243" s="28"/>
      <c r="B1243" s="26"/>
      <c r="C1243" s="27"/>
      <c r="D1243" s="27"/>
      <c r="E1243" s="26"/>
      <c r="F1243" s="26"/>
      <c r="G1243" s="26"/>
    </row>
    <row r="1244">
      <c r="A1244" s="28"/>
      <c r="B1244" s="26"/>
      <c r="C1244" s="27"/>
      <c r="D1244" s="27"/>
      <c r="E1244" s="26"/>
      <c r="F1244" s="26"/>
      <c r="G1244" s="26"/>
    </row>
    <row r="1245">
      <c r="A1245" s="28"/>
      <c r="B1245" s="26"/>
      <c r="C1245" s="27"/>
      <c r="D1245" s="27"/>
      <c r="E1245" s="26"/>
      <c r="F1245" s="26"/>
      <c r="G1245" s="26"/>
    </row>
    <row r="1246">
      <c r="A1246" s="28"/>
      <c r="B1246" s="26"/>
      <c r="C1246" s="27"/>
      <c r="D1246" s="27"/>
      <c r="E1246" s="26"/>
      <c r="F1246" s="26"/>
      <c r="G1246" s="26"/>
    </row>
    <row r="1247">
      <c r="A1247" s="28"/>
      <c r="B1247" s="26"/>
      <c r="C1247" s="27"/>
      <c r="D1247" s="27"/>
      <c r="E1247" s="26"/>
      <c r="F1247" s="26"/>
      <c r="G1247" s="26"/>
    </row>
    <row r="1248">
      <c r="A1248" s="28"/>
      <c r="B1248" s="26"/>
      <c r="C1248" s="27"/>
      <c r="D1248" s="27"/>
      <c r="E1248" s="26"/>
      <c r="F1248" s="26"/>
      <c r="G1248" s="26"/>
    </row>
    <row r="1249">
      <c r="A1249" s="28"/>
      <c r="B1249" s="26"/>
      <c r="C1249" s="27"/>
      <c r="D1249" s="27"/>
      <c r="E1249" s="26"/>
      <c r="F1249" s="26"/>
      <c r="G1249" s="26"/>
    </row>
    <row r="1250">
      <c r="A1250" s="28"/>
      <c r="B1250" s="26"/>
      <c r="C1250" s="27"/>
      <c r="D1250" s="27"/>
      <c r="E1250" s="26"/>
      <c r="F1250" s="26"/>
      <c r="G1250" s="26"/>
    </row>
    <row r="1251">
      <c r="A1251" s="28"/>
      <c r="B1251" s="26"/>
      <c r="C1251" s="27"/>
      <c r="D1251" s="27"/>
      <c r="E1251" s="26"/>
      <c r="F1251" s="26"/>
      <c r="G1251" s="26"/>
    </row>
    <row r="1252">
      <c r="A1252" s="28"/>
      <c r="B1252" s="26"/>
      <c r="C1252" s="27"/>
      <c r="D1252" s="27"/>
      <c r="E1252" s="26"/>
      <c r="F1252" s="26"/>
      <c r="G1252" s="26"/>
    </row>
    <row r="1253">
      <c r="A1253" s="28"/>
      <c r="B1253" s="26"/>
      <c r="C1253" s="27"/>
      <c r="D1253" s="27"/>
      <c r="E1253" s="26"/>
      <c r="F1253" s="26"/>
      <c r="G1253" s="26"/>
    </row>
    <row r="1254">
      <c r="A1254" s="28"/>
      <c r="B1254" s="26"/>
      <c r="C1254" s="27"/>
      <c r="D1254" s="27"/>
      <c r="E1254" s="26"/>
      <c r="F1254" s="26"/>
      <c r="G1254" s="26"/>
    </row>
    <row r="1255">
      <c r="A1255" s="28"/>
      <c r="B1255" s="26"/>
      <c r="C1255" s="27"/>
      <c r="D1255" s="27"/>
      <c r="E1255" s="26"/>
      <c r="F1255" s="26"/>
      <c r="G1255" s="26"/>
    </row>
    <row r="1256">
      <c r="A1256" s="28"/>
      <c r="B1256" s="26"/>
      <c r="C1256" s="27"/>
      <c r="D1256" s="27"/>
      <c r="E1256" s="26"/>
      <c r="F1256" s="26"/>
      <c r="G1256" s="26"/>
    </row>
    <row r="1257">
      <c r="A1257" s="28"/>
      <c r="B1257" s="26"/>
      <c r="C1257" s="27"/>
      <c r="D1257" s="27"/>
      <c r="E1257" s="26"/>
      <c r="F1257" s="26"/>
      <c r="G1257" s="26"/>
    </row>
    <row r="1258">
      <c r="A1258" s="28"/>
      <c r="B1258" s="26"/>
      <c r="C1258" s="27"/>
      <c r="D1258" s="27"/>
      <c r="E1258" s="26"/>
      <c r="F1258" s="26"/>
      <c r="G1258" s="26"/>
    </row>
    <row r="1259">
      <c r="A1259" s="28"/>
      <c r="B1259" s="26"/>
      <c r="C1259" s="27"/>
      <c r="D1259" s="27"/>
      <c r="E1259" s="26"/>
      <c r="F1259" s="26"/>
      <c r="G1259" s="26"/>
    </row>
    <row r="1260">
      <c r="A1260" s="28"/>
      <c r="B1260" s="26"/>
      <c r="C1260" s="27"/>
      <c r="D1260" s="27"/>
      <c r="E1260" s="26"/>
      <c r="F1260" s="26"/>
      <c r="G1260" s="26"/>
    </row>
    <row r="1261">
      <c r="A1261" s="28"/>
      <c r="B1261" s="26"/>
      <c r="C1261" s="27"/>
      <c r="D1261" s="27"/>
      <c r="E1261" s="26"/>
      <c r="F1261" s="26"/>
      <c r="G1261" s="26"/>
    </row>
    <row r="1262">
      <c r="A1262" s="28"/>
      <c r="B1262" s="26"/>
      <c r="C1262" s="27"/>
      <c r="D1262" s="27"/>
      <c r="E1262" s="26"/>
      <c r="F1262" s="26"/>
      <c r="G1262" s="26"/>
    </row>
    <row r="1263">
      <c r="A1263" s="28"/>
      <c r="B1263" s="26"/>
      <c r="C1263" s="27"/>
      <c r="D1263" s="27"/>
      <c r="E1263" s="26"/>
      <c r="F1263" s="26"/>
      <c r="G1263" s="26"/>
    </row>
    <row r="1264">
      <c r="A1264" s="28"/>
      <c r="B1264" s="26"/>
      <c r="C1264" s="27"/>
      <c r="D1264" s="27"/>
      <c r="E1264" s="26"/>
      <c r="F1264" s="26"/>
      <c r="G1264" s="26"/>
    </row>
    <row r="1265">
      <c r="A1265" s="28"/>
      <c r="B1265" s="26"/>
      <c r="C1265" s="27"/>
      <c r="D1265" s="27"/>
      <c r="E1265" s="26"/>
      <c r="F1265" s="26"/>
      <c r="G1265" s="26"/>
    </row>
    <row r="1266">
      <c r="A1266" s="28"/>
      <c r="B1266" s="26"/>
      <c r="C1266" s="27"/>
      <c r="D1266" s="27"/>
      <c r="E1266" s="26"/>
      <c r="F1266" s="26"/>
      <c r="G1266" s="26"/>
    </row>
    <row r="1267">
      <c r="A1267" s="28"/>
      <c r="B1267" s="26"/>
      <c r="C1267" s="27"/>
      <c r="D1267" s="27"/>
      <c r="E1267" s="26"/>
      <c r="F1267" s="26"/>
      <c r="G1267" s="26"/>
    </row>
    <row r="1268">
      <c r="A1268" s="28"/>
      <c r="B1268" s="26"/>
      <c r="C1268" s="27"/>
      <c r="D1268" s="27"/>
      <c r="E1268" s="26"/>
      <c r="F1268" s="26"/>
      <c r="G1268" s="26"/>
    </row>
    <row r="1269">
      <c r="A1269" s="28"/>
      <c r="B1269" s="26"/>
      <c r="C1269" s="27"/>
      <c r="D1269" s="27"/>
      <c r="E1269" s="26"/>
      <c r="F1269" s="26"/>
      <c r="G1269" s="26"/>
    </row>
    <row r="1270">
      <c r="A1270" s="28"/>
      <c r="B1270" s="26"/>
      <c r="C1270" s="27"/>
      <c r="D1270" s="27"/>
      <c r="E1270" s="26"/>
      <c r="F1270" s="26"/>
      <c r="G1270" s="26"/>
    </row>
    <row r="1271">
      <c r="A1271" s="28"/>
      <c r="B1271" s="26"/>
      <c r="C1271" s="27"/>
      <c r="D1271" s="27"/>
      <c r="E1271" s="26"/>
      <c r="F1271" s="26"/>
      <c r="G1271" s="26"/>
    </row>
    <row r="1272">
      <c r="A1272" s="28"/>
      <c r="B1272" s="26"/>
      <c r="C1272" s="27"/>
      <c r="D1272" s="27"/>
      <c r="E1272" s="26"/>
      <c r="F1272" s="26"/>
      <c r="G1272" s="26"/>
    </row>
    <row r="1273">
      <c r="A1273" s="28"/>
      <c r="B1273" s="26"/>
      <c r="C1273" s="27"/>
      <c r="D1273" s="27"/>
      <c r="E1273" s="26"/>
      <c r="F1273" s="26"/>
      <c r="G1273" s="26"/>
    </row>
    <row r="1274">
      <c r="A1274" s="28"/>
      <c r="B1274" s="26"/>
      <c r="C1274" s="27"/>
      <c r="D1274" s="27"/>
      <c r="E1274" s="26"/>
      <c r="F1274" s="26"/>
      <c r="G1274" s="26"/>
    </row>
    <row r="1275">
      <c r="A1275" s="28"/>
      <c r="B1275" s="26"/>
      <c r="C1275" s="27"/>
      <c r="D1275" s="27"/>
      <c r="E1275" s="26"/>
      <c r="F1275" s="26"/>
      <c r="G1275" s="26"/>
    </row>
    <row r="1276">
      <c r="A1276" s="28"/>
      <c r="B1276" s="26"/>
      <c r="C1276" s="27"/>
      <c r="D1276" s="27"/>
      <c r="E1276" s="26"/>
      <c r="F1276" s="26"/>
      <c r="G1276" s="26"/>
    </row>
    <row r="1277">
      <c r="A1277" s="28"/>
      <c r="B1277" s="26"/>
      <c r="C1277" s="27"/>
      <c r="D1277" s="27"/>
      <c r="E1277" s="26"/>
      <c r="F1277" s="26"/>
      <c r="G1277" s="26"/>
    </row>
    <row r="1278">
      <c r="A1278" s="28"/>
      <c r="B1278" s="26"/>
      <c r="C1278" s="27"/>
      <c r="D1278" s="27"/>
      <c r="E1278" s="26"/>
      <c r="F1278" s="26"/>
      <c r="G1278" s="26"/>
    </row>
    <row r="1279">
      <c r="A1279" s="28"/>
      <c r="B1279" s="26"/>
      <c r="C1279" s="27"/>
      <c r="D1279" s="27"/>
      <c r="E1279" s="26"/>
      <c r="F1279" s="26"/>
      <c r="G1279" s="26"/>
    </row>
    <row r="1280">
      <c r="A1280" s="28"/>
      <c r="B1280" s="26"/>
      <c r="C1280" s="27"/>
      <c r="D1280" s="27"/>
      <c r="E1280" s="26"/>
      <c r="F1280" s="26"/>
      <c r="G1280" s="26"/>
    </row>
    <row r="1281">
      <c r="A1281" s="28"/>
      <c r="B1281" s="26"/>
      <c r="C1281" s="27"/>
      <c r="D1281" s="27"/>
      <c r="E1281" s="26"/>
      <c r="F1281" s="26"/>
      <c r="G1281" s="26"/>
    </row>
    <row r="1282">
      <c r="A1282" s="28"/>
      <c r="B1282" s="26"/>
      <c r="C1282" s="27"/>
      <c r="D1282" s="27"/>
      <c r="E1282" s="26"/>
      <c r="F1282" s="26"/>
      <c r="G1282" s="26"/>
    </row>
    <row r="1283">
      <c r="A1283" s="28"/>
      <c r="B1283" s="26"/>
      <c r="C1283" s="27"/>
      <c r="D1283" s="27"/>
      <c r="E1283" s="26"/>
      <c r="F1283" s="26"/>
      <c r="G1283" s="26"/>
    </row>
    <row r="1284">
      <c r="A1284" s="28"/>
      <c r="B1284" s="26"/>
      <c r="C1284" s="27"/>
      <c r="D1284" s="27"/>
      <c r="E1284" s="26"/>
      <c r="F1284" s="26"/>
      <c r="G1284" s="26"/>
    </row>
    <row r="1285">
      <c r="A1285" s="28"/>
      <c r="B1285" s="26"/>
      <c r="C1285" s="27"/>
      <c r="D1285" s="27"/>
      <c r="E1285" s="26"/>
      <c r="F1285" s="26"/>
      <c r="G1285" s="26"/>
    </row>
    <row r="1286">
      <c r="A1286" s="28"/>
      <c r="B1286" s="26"/>
      <c r="C1286" s="27"/>
      <c r="D1286" s="27"/>
      <c r="E1286" s="26"/>
      <c r="F1286" s="26"/>
      <c r="G1286" s="26"/>
    </row>
    <row r="1287">
      <c r="A1287" s="28"/>
      <c r="B1287" s="26"/>
      <c r="C1287" s="27"/>
      <c r="D1287" s="27"/>
      <c r="E1287" s="26"/>
      <c r="F1287" s="26"/>
      <c r="G1287" s="26"/>
    </row>
    <row r="1288">
      <c r="A1288" s="28"/>
      <c r="B1288" s="26"/>
      <c r="C1288" s="27"/>
      <c r="D1288" s="27"/>
      <c r="E1288" s="26"/>
      <c r="F1288" s="26"/>
      <c r="G1288" s="26"/>
    </row>
    <row r="1289">
      <c r="A1289" s="28"/>
      <c r="B1289" s="26"/>
      <c r="C1289" s="27"/>
      <c r="D1289" s="27"/>
      <c r="E1289" s="26"/>
      <c r="F1289" s="26"/>
      <c r="G1289" s="26"/>
    </row>
    <row r="1290">
      <c r="A1290" s="28"/>
      <c r="B1290" s="26"/>
      <c r="C1290" s="27"/>
      <c r="D1290" s="27"/>
      <c r="E1290" s="26"/>
      <c r="F1290" s="26"/>
      <c r="G1290" s="26"/>
    </row>
    <row r="1291">
      <c r="A1291" s="28"/>
      <c r="B1291" s="26"/>
      <c r="C1291" s="27"/>
      <c r="D1291" s="27"/>
      <c r="E1291" s="26"/>
      <c r="F1291" s="26"/>
      <c r="G1291" s="26"/>
    </row>
    <row r="1292">
      <c r="A1292" s="28"/>
      <c r="B1292" s="26"/>
      <c r="C1292" s="27"/>
      <c r="D1292" s="27"/>
      <c r="E1292" s="26"/>
      <c r="F1292" s="26"/>
      <c r="G1292" s="26"/>
    </row>
    <row r="1293">
      <c r="A1293" s="28"/>
      <c r="B1293" s="26"/>
      <c r="C1293" s="27"/>
      <c r="D1293" s="27"/>
      <c r="E1293" s="26"/>
      <c r="F1293" s="26"/>
      <c r="G1293" s="26"/>
    </row>
    <row r="1294">
      <c r="A1294" s="28"/>
      <c r="B1294" s="26"/>
      <c r="C1294" s="27"/>
      <c r="D1294" s="27"/>
      <c r="E1294" s="26"/>
      <c r="F1294" s="26"/>
      <c r="G1294" s="26"/>
    </row>
    <row r="1295">
      <c r="A1295" s="28"/>
      <c r="B1295" s="26"/>
      <c r="C1295" s="27"/>
      <c r="D1295" s="27"/>
      <c r="E1295" s="26"/>
      <c r="F1295" s="26"/>
      <c r="G1295" s="26"/>
    </row>
    <row r="1296">
      <c r="A1296" s="28"/>
      <c r="B1296" s="26"/>
      <c r="C1296" s="27"/>
      <c r="D1296" s="27"/>
      <c r="E1296" s="26"/>
      <c r="F1296" s="26"/>
      <c r="G1296" s="26"/>
    </row>
    <row r="1297">
      <c r="A1297" s="28"/>
      <c r="B1297" s="26"/>
      <c r="C1297" s="27"/>
      <c r="D1297" s="27"/>
      <c r="E1297" s="26"/>
      <c r="F1297" s="26"/>
      <c r="G1297" s="26"/>
    </row>
    <row r="1298">
      <c r="A1298" s="28"/>
      <c r="B1298" s="26"/>
      <c r="C1298" s="27"/>
      <c r="D1298" s="27"/>
      <c r="E1298" s="26"/>
      <c r="F1298" s="26"/>
      <c r="G1298" s="26"/>
    </row>
    <row r="1299">
      <c r="A1299" s="28"/>
      <c r="B1299" s="26"/>
      <c r="C1299" s="27"/>
      <c r="D1299" s="27"/>
      <c r="E1299" s="26"/>
      <c r="F1299" s="26"/>
      <c r="G1299" s="26"/>
    </row>
    <row r="1300">
      <c r="A1300" s="28"/>
      <c r="B1300" s="26"/>
      <c r="C1300" s="27"/>
      <c r="D1300" s="27"/>
      <c r="E1300" s="26"/>
      <c r="F1300" s="26"/>
      <c r="G1300" s="26"/>
    </row>
    <row r="1301">
      <c r="A1301" s="28"/>
      <c r="B1301" s="26"/>
      <c r="C1301" s="27"/>
      <c r="D1301" s="27"/>
      <c r="E1301" s="26"/>
      <c r="F1301" s="26"/>
      <c r="G1301" s="26"/>
    </row>
    <row r="1302">
      <c r="A1302" s="28"/>
      <c r="B1302" s="26"/>
      <c r="C1302" s="27"/>
      <c r="D1302" s="27"/>
      <c r="E1302" s="26"/>
      <c r="F1302" s="26"/>
      <c r="G1302" s="26"/>
    </row>
    <row r="1303">
      <c r="A1303" s="28"/>
      <c r="B1303" s="26"/>
      <c r="C1303" s="27"/>
      <c r="D1303" s="27"/>
      <c r="E1303" s="26"/>
      <c r="F1303" s="26"/>
      <c r="G1303" s="26"/>
    </row>
    <row r="1304">
      <c r="A1304" s="28"/>
      <c r="B1304" s="26"/>
      <c r="C1304" s="27"/>
      <c r="D1304" s="27"/>
      <c r="E1304" s="26"/>
      <c r="F1304" s="26"/>
      <c r="G1304" s="26"/>
    </row>
    <row r="1305">
      <c r="A1305" s="28"/>
      <c r="B1305" s="26"/>
      <c r="C1305" s="27"/>
      <c r="D1305" s="27"/>
      <c r="E1305" s="26"/>
      <c r="F1305" s="26"/>
      <c r="G1305" s="26"/>
    </row>
    <row r="1306">
      <c r="A1306" s="28"/>
      <c r="B1306" s="26"/>
      <c r="C1306" s="27"/>
      <c r="D1306" s="27"/>
      <c r="E1306" s="26"/>
      <c r="F1306" s="26"/>
      <c r="G1306" s="26"/>
    </row>
    <row r="1307">
      <c r="A1307" s="28"/>
      <c r="B1307" s="26"/>
      <c r="C1307" s="27"/>
      <c r="D1307" s="27"/>
      <c r="E1307" s="26"/>
      <c r="F1307" s="26"/>
      <c r="G1307" s="26"/>
    </row>
    <row r="1308">
      <c r="A1308" s="28"/>
      <c r="B1308" s="26"/>
      <c r="C1308" s="27"/>
      <c r="D1308" s="27"/>
      <c r="E1308" s="26"/>
      <c r="F1308" s="26"/>
      <c r="G1308" s="26"/>
    </row>
    <row r="1309">
      <c r="A1309" s="28"/>
      <c r="B1309" s="26"/>
      <c r="C1309" s="27"/>
      <c r="D1309" s="27"/>
      <c r="E1309" s="26"/>
      <c r="F1309" s="26"/>
      <c r="G1309" s="26"/>
    </row>
    <row r="1310">
      <c r="A1310" s="28"/>
      <c r="B1310" s="26"/>
      <c r="C1310" s="27"/>
      <c r="D1310" s="27"/>
      <c r="E1310" s="26"/>
      <c r="F1310" s="26"/>
      <c r="G1310" s="26"/>
    </row>
    <row r="1311">
      <c r="A1311" s="28"/>
      <c r="B1311" s="26"/>
      <c r="C1311" s="27"/>
      <c r="D1311" s="27"/>
      <c r="E1311" s="26"/>
      <c r="F1311" s="26"/>
      <c r="G1311" s="26"/>
    </row>
    <row r="1312">
      <c r="A1312" s="28"/>
      <c r="B1312" s="26"/>
      <c r="C1312" s="27"/>
      <c r="D1312" s="27"/>
      <c r="E1312" s="26"/>
      <c r="F1312" s="26"/>
      <c r="G1312" s="26"/>
    </row>
    <row r="1313">
      <c r="A1313" s="28"/>
      <c r="B1313" s="26"/>
      <c r="C1313" s="27"/>
      <c r="D1313" s="27"/>
      <c r="E1313" s="26"/>
      <c r="F1313" s="26"/>
      <c r="G1313" s="26"/>
    </row>
    <row r="1314">
      <c r="A1314" s="28"/>
      <c r="B1314" s="26"/>
      <c r="C1314" s="27"/>
      <c r="D1314" s="27"/>
      <c r="E1314" s="26"/>
      <c r="F1314" s="26"/>
      <c r="G1314" s="26"/>
    </row>
    <row r="1315">
      <c r="A1315" s="28"/>
      <c r="B1315" s="26"/>
      <c r="C1315" s="27"/>
      <c r="D1315" s="27"/>
      <c r="E1315" s="26"/>
      <c r="F1315" s="26"/>
      <c r="G1315" s="26"/>
    </row>
    <row r="1316">
      <c r="A1316" s="28"/>
      <c r="B1316" s="26"/>
      <c r="C1316" s="27"/>
      <c r="D1316" s="27"/>
      <c r="E1316" s="26"/>
      <c r="F1316" s="26"/>
      <c r="G1316" s="26"/>
    </row>
    <row r="1317">
      <c r="A1317" s="28"/>
      <c r="B1317" s="26"/>
      <c r="C1317" s="27"/>
      <c r="D1317" s="27"/>
      <c r="E1317" s="26"/>
      <c r="F1317" s="26"/>
      <c r="G1317" s="26"/>
    </row>
    <row r="1318">
      <c r="A1318" s="28"/>
      <c r="B1318" s="26"/>
      <c r="C1318" s="27"/>
      <c r="D1318" s="27"/>
      <c r="E1318" s="26"/>
      <c r="F1318" s="26"/>
      <c r="G1318" s="26"/>
    </row>
    <row r="1319">
      <c r="A1319" s="28"/>
      <c r="B1319" s="26"/>
      <c r="C1319" s="27"/>
      <c r="D1319" s="27"/>
      <c r="E1319" s="26"/>
      <c r="F1319" s="26"/>
      <c r="G1319" s="26"/>
    </row>
    <row r="1320">
      <c r="A1320" s="28"/>
      <c r="B1320" s="26"/>
      <c r="C1320" s="27"/>
      <c r="D1320" s="27"/>
      <c r="E1320" s="26"/>
      <c r="F1320" s="26"/>
      <c r="G1320" s="26"/>
    </row>
    <row r="1321">
      <c r="A1321" s="28"/>
      <c r="B1321" s="26"/>
      <c r="C1321" s="27"/>
      <c r="D1321" s="27"/>
      <c r="E1321" s="26"/>
      <c r="F1321" s="26"/>
      <c r="G1321" s="26"/>
    </row>
    <row r="1322">
      <c r="A1322" s="28"/>
      <c r="B1322" s="26"/>
      <c r="C1322" s="27"/>
      <c r="D1322" s="27"/>
      <c r="E1322" s="26"/>
      <c r="F1322" s="26"/>
      <c r="G1322" s="26"/>
    </row>
    <row r="1323">
      <c r="A1323" s="28"/>
      <c r="B1323" s="26"/>
      <c r="C1323" s="27"/>
      <c r="D1323" s="27"/>
      <c r="E1323" s="26"/>
      <c r="F1323" s="26"/>
      <c r="G1323" s="26"/>
    </row>
    <row r="1324">
      <c r="A1324" s="28"/>
      <c r="B1324" s="26"/>
      <c r="C1324" s="27"/>
      <c r="D1324" s="27"/>
      <c r="E1324" s="26"/>
      <c r="F1324" s="26"/>
      <c r="G1324" s="26"/>
    </row>
    <row r="1325">
      <c r="A1325" s="28"/>
      <c r="B1325" s="26"/>
      <c r="C1325" s="27"/>
      <c r="D1325" s="27"/>
      <c r="E1325" s="26"/>
      <c r="F1325" s="26"/>
      <c r="G1325" s="26"/>
    </row>
    <row r="1326">
      <c r="A1326" s="28"/>
      <c r="B1326" s="26"/>
      <c r="C1326" s="27"/>
      <c r="D1326" s="27"/>
      <c r="E1326" s="26"/>
      <c r="F1326" s="26"/>
      <c r="G1326" s="26"/>
    </row>
    <row r="1327">
      <c r="A1327" s="28"/>
      <c r="B1327" s="26"/>
      <c r="C1327" s="27"/>
      <c r="D1327" s="27"/>
      <c r="E1327" s="26"/>
      <c r="F1327" s="26"/>
      <c r="G1327" s="26"/>
    </row>
    <row r="1328">
      <c r="A1328" s="28"/>
      <c r="B1328" s="26"/>
      <c r="C1328" s="27"/>
      <c r="D1328" s="27"/>
      <c r="E1328" s="26"/>
      <c r="F1328" s="26"/>
      <c r="G1328" s="26"/>
    </row>
    <row r="1329">
      <c r="A1329" s="28"/>
      <c r="B1329" s="26"/>
      <c r="C1329" s="27"/>
      <c r="D1329" s="27"/>
      <c r="E1329" s="26"/>
      <c r="F1329" s="26"/>
      <c r="G1329" s="26"/>
    </row>
    <row r="1330">
      <c r="A1330" s="28"/>
      <c r="B1330" s="26"/>
      <c r="C1330" s="27"/>
      <c r="D1330" s="27"/>
      <c r="E1330" s="26"/>
      <c r="F1330" s="26"/>
      <c r="G1330" s="26"/>
    </row>
    <row r="1331">
      <c r="A1331" s="28"/>
      <c r="B1331" s="26"/>
      <c r="C1331" s="27"/>
      <c r="D1331" s="27"/>
      <c r="E1331" s="26"/>
      <c r="F1331" s="26"/>
      <c r="G1331" s="26"/>
    </row>
    <row r="1332">
      <c r="A1332" s="28"/>
      <c r="B1332" s="26"/>
      <c r="C1332" s="27"/>
      <c r="D1332" s="27"/>
      <c r="E1332" s="26"/>
      <c r="F1332" s="26"/>
      <c r="G1332" s="26"/>
    </row>
    <row r="1333">
      <c r="A1333" s="28"/>
      <c r="B1333" s="26"/>
      <c r="C1333" s="27"/>
      <c r="D1333" s="27"/>
      <c r="E1333" s="26"/>
      <c r="F1333" s="26"/>
      <c r="G1333" s="26"/>
    </row>
    <row r="1334">
      <c r="A1334" s="28"/>
      <c r="B1334" s="26"/>
      <c r="C1334" s="27"/>
      <c r="D1334" s="27"/>
      <c r="E1334" s="26"/>
      <c r="F1334" s="26"/>
      <c r="G1334" s="26"/>
    </row>
    <row r="1335">
      <c r="A1335" s="28"/>
      <c r="B1335" s="26"/>
      <c r="C1335" s="27"/>
      <c r="D1335" s="27"/>
      <c r="E1335" s="26"/>
      <c r="F1335" s="26"/>
      <c r="G1335" s="26"/>
    </row>
    <row r="1336">
      <c r="A1336" s="28"/>
      <c r="B1336" s="26"/>
      <c r="C1336" s="27"/>
      <c r="D1336" s="27"/>
      <c r="E1336" s="26"/>
      <c r="F1336" s="26"/>
      <c r="G1336" s="26"/>
    </row>
    <row r="1337">
      <c r="A1337" s="28"/>
      <c r="B1337" s="26"/>
      <c r="C1337" s="27"/>
      <c r="D1337" s="27"/>
      <c r="E1337" s="26"/>
      <c r="F1337" s="26"/>
      <c r="G1337" s="26"/>
    </row>
    <row r="1338">
      <c r="A1338" s="28"/>
      <c r="B1338" s="26"/>
      <c r="C1338" s="27"/>
      <c r="D1338" s="27"/>
      <c r="E1338" s="26"/>
      <c r="F1338" s="26"/>
      <c r="G1338" s="26"/>
    </row>
    <row r="1339">
      <c r="A1339" s="28"/>
      <c r="B1339" s="26"/>
      <c r="C1339" s="27"/>
      <c r="D1339" s="27"/>
      <c r="E1339" s="26"/>
      <c r="F1339" s="26"/>
      <c r="G1339" s="26"/>
    </row>
    <row r="1340">
      <c r="A1340" s="28"/>
      <c r="B1340" s="26"/>
      <c r="C1340" s="27"/>
      <c r="D1340" s="27"/>
      <c r="E1340" s="26"/>
      <c r="F1340" s="26"/>
      <c r="G1340" s="26"/>
    </row>
    <row r="1341">
      <c r="A1341" s="28"/>
      <c r="B1341" s="26"/>
      <c r="C1341" s="27"/>
      <c r="D1341" s="27"/>
      <c r="E1341" s="26"/>
      <c r="F1341" s="26"/>
      <c r="G1341" s="26"/>
    </row>
    <row r="1342">
      <c r="A1342" s="28"/>
      <c r="B1342" s="26"/>
      <c r="C1342" s="27"/>
      <c r="D1342" s="27"/>
      <c r="E1342" s="26"/>
      <c r="F1342" s="26"/>
      <c r="G1342" s="26"/>
    </row>
    <row r="1343">
      <c r="A1343" s="28"/>
      <c r="B1343" s="26"/>
      <c r="C1343" s="27"/>
      <c r="D1343" s="27"/>
      <c r="E1343" s="26"/>
      <c r="F1343" s="26"/>
      <c r="G1343" s="26"/>
    </row>
    <row r="1344">
      <c r="A1344" s="28"/>
      <c r="B1344" s="26"/>
      <c r="C1344" s="27"/>
      <c r="D1344" s="27"/>
      <c r="E1344" s="26"/>
      <c r="F1344" s="26"/>
      <c r="G1344" s="26"/>
    </row>
    <row r="1345">
      <c r="A1345" s="28"/>
      <c r="B1345" s="26"/>
      <c r="C1345" s="27"/>
      <c r="D1345" s="27"/>
      <c r="E1345" s="26"/>
      <c r="F1345" s="26"/>
      <c r="G1345" s="26"/>
    </row>
    <row r="1346">
      <c r="A1346" s="28"/>
      <c r="B1346" s="26"/>
      <c r="C1346" s="27"/>
      <c r="D1346" s="27"/>
      <c r="E1346" s="26"/>
      <c r="F1346" s="26"/>
      <c r="G1346" s="26"/>
    </row>
    <row r="1347">
      <c r="A1347" s="28"/>
      <c r="B1347" s="26"/>
      <c r="C1347" s="27"/>
      <c r="D1347" s="27"/>
      <c r="E1347" s="26"/>
      <c r="F1347" s="26"/>
      <c r="G1347" s="26"/>
    </row>
    <row r="1348">
      <c r="A1348" s="28"/>
      <c r="B1348" s="26"/>
      <c r="C1348" s="27"/>
      <c r="D1348" s="27"/>
      <c r="E1348" s="26"/>
      <c r="F1348" s="26"/>
      <c r="G1348" s="26"/>
    </row>
    <row r="1349">
      <c r="A1349" s="28"/>
      <c r="B1349" s="26"/>
      <c r="C1349" s="27"/>
      <c r="D1349" s="27"/>
      <c r="E1349" s="26"/>
      <c r="F1349" s="26"/>
      <c r="G1349" s="26"/>
    </row>
    <row r="1350">
      <c r="A1350" s="28"/>
      <c r="B1350" s="26"/>
      <c r="C1350" s="27"/>
      <c r="D1350" s="27"/>
      <c r="E1350" s="26"/>
      <c r="F1350" s="26"/>
      <c r="G1350" s="26"/>
    </row>
    <row r="1351">
      <c r="A1351" s="28"/>
      <c r="B1351" s="26"/>
      <c r="C1351" s="27"/>
      <c r="D1351" s="27"/>
      <c r="E1351" s="26"/>
      <c r="F1351" s="26"/>
      <c r="G1351" s="26"/>
    </row>
    <row r="1352">
      <c r="A1352" s="28"/>
      <c r="B1352" s="26"/>
      <c r="C1352" s="27"/>
      <c r="D1352" s="27"/>
      <c r="E1352" s="26"/>
      <c r="F1352" s="26"/>
      <c r="G1352" s="26"/>
    </row>
    <row r="1353">
      <c r="A1353" s="28"/>
      <c r="B1353" s="26"/>
      <c r="C1353" s="27"/>
      <c r="D1353" s="27"/>
      <c r="E1353" s="26"/>
      <c r="F1353" s="26"/>
      <c r="G1353" s="26"/>
    </row>
    <row r="1354">
      <c r="A1354" s="28"/>
      <c r="B1354" s="26"/>
      <c r="C1354" s="27"/>
      <c r="D1354" s="27"/>
      <c r="E1354" s="26"/>
      <c r="F1354" s="26"/>
      <c r="G1354" s="26"/>
    </row>
    <row r="1355">
      <c r="A1355" s="28"/>
      <c r="B1355" s="26"/>
      <c r="C1355" s="27"/>
      <c r="D1355" s="27"/>
      <c r="E1355" s="26"/>
      <c r="F1355" s="26"/>
      <c r="G1355" s="26"/>
    </row>
    <row r="1356">
      <c r="A1356" s="28"/>
      <c r="B1356" s="26"/>
      <c r="C1356" s="27"/>
      <c r="D1356" s="27"/>
      <c r="E1356" s="26"/>
      <c r="F1356" s="26"/>
      <c r="G1356" s="26"/>
    </row>
    <row r="1357">
      <c r="A1357" s="28"/>
      <c r="B1357" s="26"/>
      <c r="C1357" s="27"/>
      <c r="D1357" s="27"/>
      <c r="E1357" s="26"/>
      <c r="F1357" s="26"/>
      <c r="G1357" s="26"/>
    </row>
    <row r="1358">
      <c r="A1358" s="28"/>
      <c r="B1358" s="26"/>
      <c r="C1358" s="27"/>
      <c r="D1358" s="27"/>
      <c r="E1358" s="26"/>
      <c r="F1358" s="26"/>
      <c r="G1358" s="26"/>
    </row>
    <row r="1359">
      <c r="A1359" s="28"/>
      <c r="B1359" s="26"/>
      <c r="C1359" s="27"/>
      <c r="D1359" s="27"/>
      <c r="E1359" s="26"/>
      <c r="F1359" s="26"/>
      <c r="G1359" s="26"/>
    </row>
    <row r="1360">
      <c r="A1360" s="28"/>
      <c r="B1360" s="26"/>
      <c r="C1360" s="27"/>
      <c r="D1360" s="27"/>
      <c r="E1360" s="26"/>
      <c r="F1360" s="26"/>
      <c r="G1360" s="26"/>
    </row>
    <row r="1361">
      <c r="A1361" s="28"/>
      <c r="B1361" s="26"/>
      <c r="C1361" s="27"/>
      <c r="D1361" s="27"/>
      <c r="E1361" s="26"/>
      <c r="F1361" s="26"/>
      <c r="G1361" s="26"/>
    </row>
    <row r="1362">
      <c r="A1362" s="28"/>
      <c r="B1362" s="26"/>
      <c r="C1362" s="27"/>
      <c r="D1362" s="27"/>
      <c r="E1362" s="26"/>
      <c r="F1362" s="26"/>
      <c r="G1362" s="26"/>
    </row>
    <row r="1363">
      <c r="A1363" s="28"/>
      <c r="B1363" s="26"/>
      <c r="C1363" s="27"/>
      <c r="D1363" s="27"/>
      <c r="E1363" s="26"/>
      <c r="F1363" s="26"/>
      <c r="G1363" s="26"/>
    </row>
    <row r="1364">
      <c r="A1364" s="28"/>
      <c r="B1364" s="26"/>
      <c r="C1364" s="27"/>
      <c r="D1364" s="27"/>
      <c r="E1364" s="26"/>
      <c r="F1364" s="26"/>
      <c r="G1364" s="26"/>
    </row>
    <row r="1365">
      <c r="A1365" s="28"/>
      <c r="B1365" s="26"/>
      <c r="C1365" s="27"/>
      <c r="D1365" s="27"/>
      <c r="E1365" s="26"/>
      <c r="F1365" s="26"/>
      <c r="G1365" s="26"/>
    </row>
    <row r="1366">
      <c r="A1366" s="28"/>
      <c r="B1366" s="26"/>
      <c r="C1366" s="27"/>
      <c r="D1366" s="27"/>
      <c r="E1366" s="26"/>
      <c r="F1366" s="26"/>
      <c r="G1366" s="26"/>
    </row>
    <row r="1367">
      <c r="A1367" s="28"/>
      <c r="B1367" s="26"/>
      <c r="C1367" s="27"/>
      <c r="D1367" s="27"/>
      <c r="E1367" s="26"/>
      <c r="F1367" s="26"/>
      <c r="G1367" s="26"/>
    </row>
    <row r="1368">
      <c r="A1368" s="28"/>
      <c r="B1368" s="26"/>
      <c r="C1368" s="27"/>
      <c r="D1368" s="27"/>
      <c r="E1368" s="26"/>
      <c r="F1368" s="26"/>
      <c r="G1368" s="26"/>
    </row>
    <row r="1369">
      <c r="A1369" s="28"/>
      <c r="B1369" s="26"/>
      <c r="C1369" s="27"/>
      <c r="D1369" s="27"/>
      <c r="E1369" s="26"/>
      <c r="F1369" s="26"/>
      <c r="G1369" s="26"/>
    </row>
    <row r="1370">
      <c r="A1370" s="28"/>
      <c r="B1370" s="26"/>
      <c r="C1370" s="27"/>
      <c r="D1370" s="27"/>
      <c r="E1370" s="26"/>
      <c r="F1370" s="26"/>
      <c r="G1370" s="26"/>
    </row>
    <row r="1371">
      <c r="A1371" s="28"/>
      <c r="B1371" s="26"/>
      <c r="C1371" s="27"/>
      <c r="D1371" s="27"/>
      <c r="E1371" s="26"/>
      <c r="F1371" s="26"/>
      <c r="G1371" s="26"/>
    </row>
    <row r="1372">
      <c r="A1372" s="28"/>
      <c r="B1372" s="26"/>
      <c r="C1372" s="27"/>
      <c r="D1372" s="27"/>
      <c r="E1372" s="26"/>
      <c r="F1372" s="26"/>
      <c r="G1372" s="26"/>
    </row>
    <row r="1373">
      <c r="A1373" s="28"/>
      <c r="B1373" s="26"/>
      <c r="C1373" s="27"/>
      <c r="D1373" s="27"/>
      <c r="E1373" s="26"/>
      <c r="F1373" s="26"/>
      <c r="G1373" s="26"/>
    </row>
    <row r="1374">
      <c r="A1374" s="28"/>
      <c r="B1374" s="26"/>
      <c r="C1374" s="27"/>
      <c r="D1374" s="27"/>
      <c r="E1374" s="26"/>
      <c r="F1374" s="26"/>
      <c r="G1374" s="26"/>
    </row>
    <row r="1375">
      <c r="A1375" s="28"/>
      <c r="B1375" s="26"/>
      <c r="C1375" s="27"/>
      <c r="D1375" s="27"/>
      <c r="E1375" s="26"/>
      <c r="F1375" s="26"/>
      <c r="G1375" s="26"/>
    </row>
    <row r="1376">
      <c r="A1376" s="28"/>
      <c r="B1376" s="26"/>
      <c r="C1376" s="27"/>
      <c r="D1376" s="27"/>
      <c r="E1376" s="26"/>
      <c r="F1376" s="26"/>
      <c r="G1376" s="26"/>
    </row>
    <row r="1377">
      <c r="A1377" s="28"/>
      <c r="B1377" s="26"/>
      <c r="C1377" s="27"/>
      <c r="D1377" s="27"/>
      <c r="E1377" s="26"/>
      <c r="F1377" s="26"/>
      <c r="G1377" s="26"/>
    </row>
    <row r="1378">
      <c r="A1378" s="28"/>
      <c r="B1378" s="26"/>
      <c r="C1378" s="27"/>
      <c r="D1378" s="27"/>
      <c r="E1378" s="26"/>
      <c r="F1378" s="26"/>
      <c r="G1378" s="26"/>
    </row>
    <row r="1379">
      <c r="A1379" s="28"/>
      <c r="B1379" s="26"/>
      <c r="C1379" s="27"/>
      <c r="D1379" s="27"/>
      <c r="E1379" s="26"/>
      <c r="F1379" s="26"/>
      <c r="G1379" s="26"/>
    </row>
    <row r="1380">
      <c r="A1380" s="28"/>
      <c r="B1380" s="26"/>
      <c r="C1380" s="27"/>
      <c r="D1380" s="27"/>
      <c r="E1380" s="26"/>
      <c r="F1380" s="26"/>
      <c r="G1380" s="26"/>
    </row>
    <row r="1381">
      <c r="A1381" s="28"/>
      <c r="B1381" s="26"/>
      <c r="C1381" s="27"/>
      <c r="D1381" s="27"/>
      <c r="E1381" s="26"/>
      <c r="F1381" s="26"/>
      <c r="G1381" s="26"/>
    </row>
    <row r="1382">
      <c r="A1382" s="28"/>
      <c r="B1382" s="26"/>
      <c r="C1382" s="27"/>
      <c r="D1382" s="27"/>
      <c r="E1382" s="26"/>
      <c r="F1382" s="26"/>
      <c r="G1382" s="26"/>
    </row>
    <row r="1383">
      <c r="A1383" s="28"/>
      <c r="B1383" s="26"/>
      <c r="C1383" s="27"/>
      <c r="D1383" s="27"/>
      <c r="E1383" s="26"/>
      <c r="F1383" s="26"/>
      <c r="G1383" s="26"/>
    </row>
    <row r="1384">
      <c r="A1384" s="28"/>
      <c r="B1384" s="26"/>
      <c r="C1384" s="27"/>
      <c r="D1384" s="27"/>
      <c r="E1384" s="26"/>
      <c r="F1384" s="26"/>
      <c r="G1384" s="26"/>
    </row>
    <row r="1385">
      <c r="A1385" s="28"/>
      <c r="B1385" s="26"/>
      <c r="C1385" s="27"/>
      <c r="D1385" s="27"/>
      <c r="E1385" s="26"/>
      <c r="F1385" s="26"/>
      <c r="G1385" s="26"/>
    </row>
    <row r="1386">
      <c r="A1386" s="28"/>
      <c r="B1386" s="26"/>
      <c r="C1386" s="27"/>
      <c r="D1386" s="27"/>
      <c r="E1386" s="26"/>
      <c r="F1386" s="26"/>
      <c r="G1386" s="26"/>
    </row>
    <row r="1387">
      <c r="A1387" s="28"/>
      <c r="B1387" s="26"/>
      <c r="C1387" s="27"/>
      <c r="D1387" s="27"/>
      <c r="E1387" s="26"/>
      <c r="F1387" s="26"/>
      <c r="G1387" s="26"/>
    </row>
    <row r="1388">
      <c r="A1388" s="28"/>
      <c r="B1388" s="26"/>
      <c r="C1388" s="27"/>
      <c r="D1388" s="27"/>
      <c r="E1388" s="26"/>
      <c r="F1388" s="26"/>
      <c r="G1388" s="26"/>
    </row>
    <row r="1389">
      <c r="A1389" s="28"/>
      <c r="B1389" s="26"/>
      <c r="C1389" s="27"/>
      <c r="D1389" s="27"/>
      <c r="E1389" s="26"/>
      <c r="F1389" s="26"/>
      <c r="G1389" s="26"/>
    </row>
    <row r="1390">
      <c r="A1390" s="28"/>
      <c r="B1390" s="26"/>
      <c r="C1390" s="27"/>
      <c r="D1390" s="27"/>
      <c r="E1390" s="26"/>
      <c r="F1390" s="26"/>
      <c r="G1390" s="26"/>
    </row>
    <row r="1391">
      <c r="A1391" s="28"/>
      <c r="B1391" s="26"/>
      <c r="C1391" s="27"/>
      <c r="D1391" s="27"/>
      <c r="E1391" s="26"/>
      <c r="F1391" s="26"/>
      <c r="G1391" s="26"/>
    </row>
    <row r="1392">
      <c r="A1392" s="28"/>
      <c r="B1392" s="26"/>
      <c r="C1392" s="27"/>
      <c r="D1392" s="27"/>
      <c r="E1392" s="26"/>
      <c r="F1392" s="26"/>
      <c r="G1392" s="26"/>
    </row>
    <row r="1393">
      <c r="A1393" s="28"/>
      <c r="B1393" s="26"/>
      <c r="C1393" s="27"/>
      <c r="D1393" s="27"/>
      <c r="E1393" s="26"/>
      <c r="F1393" s="26"/>
      <c r="G1393" s="26"/>
    </row>
    <row r="1394">
      <c r="A1394" s="28"/>
      <c r="B1394" s="26"/>
      <c r="C1394" s="27"/>
      <c r="D1394" s="27"/>
      <c r="E1394" s="26"/>
      <c r="F1394" s="26"/>
      <c r="G1394" s="26"/>
    </row>
    <row r="1395">
      <c r="A1395" s="28"/>
      <c r="B1395" s="26"/>
      <c r="C1395" s="27"/>
      <c r="D1395" s="27"/>
      <c r="E1395" s="26"/>
      <c r="F1395" s="26"/>
      <c r="G1395" s="26"/>
    </row>
    <row r="1396">
      <c r="A1396" s="28"/>
      <c r="B1396" s="26"/>
      <c r="C1396" s="27"/>
      <c r="D1396" s="27"/>
      <c r="E1396" s="26"/>
      <c r="F1396" s="26"/>
      <c r="G1396" s="26"/>
    </row>
    <row r="1397">
      <c r="A1397" s="28"/>
      <c r="B1397" s="26"/>
      <c r="C1397" s="27"/>
      <c r="D1397" s="27"/>
      <c r="E1397" s="26"/>
      <c r="F1397" s="26"/>
      <c r="G1397" s="26"/>
    </row>
    <row r="1398">
      <c r="A1398" s="28"/>
      <c r="B1398" s="26"/>
      <c r="C1398" s="27"/>
      <c r="D1398" s="27"/>
      <c r="E1398" s="26"/>
      <c r="F1398" s="26"/>
      <c r="G1398" s="26"/>
    </row>
    <row r="1399">
      <c r="A1399" s="28"/>
      <c r="B1399" s="26"/>
      <c r="C1399" s="27"/>
      <c r="D1399" s="27"/>
      <c r="E1399" s="26"/>
      <c r="F1399" s="26"/>
      <c r="G1399" s="26"/>
    </row>
    <row r="1400">
      <c r="A1400" s="28"/>
      <c r="B1400" s="26"/>
      <c r="C1400" s="27"/>
      <c r="D1400" s="27"/>
      <c r="E1400" s="26"/>
      <c r="F1400" s="26"/>
      <c r="G1400" s="26"/>
    </row>
    <row r="1401">
      <c r="A1401" s="28"/>
      <c r="B1401" s="26"/>
      <c r="C1401" s="27"/>
      <c r="D1401" s="27"/>
      <c r="E1401" s="26"/>
      <c r="F1401" s="26"/>
      <c r="G1401" s="26"/>
    </row>
    <row r="1402">
      <c r="A1402" s="28"/>
      <c r="B1402" s="26"/>
      <c r="C1402" s="27"/>
      <c r="D1402" s="27"/>
      <c r="E1402" s="26"/>
      <c r="F1402" s="26"/>
      <c r="G1402" s="26"/>
    </row>
    <row r="1403">
      <c r="A1403" s="28"/>
      <c r="B1403" s="26"/>
      <c r="C1403" s="27"/>
      <c r="D1403" s="27"/>
      <c r="E1403" s="26"/>
      <c r="F1403" s="26"/>
      <c r="G1403" s="26"/>
    </row>
    <row r="1404">
      <c r="A1404" s="28"/>
      <c r="B1404" s="26"/>
      <c r="C1404" s="27"/>
      <c r="D1404" s="27"/>
      <c r="E1404" s="26"/>
      <c r="F1404" s="26"/>
      <c r="G1404" s="26"/>
    </row>
    <row r="1405">
      <c r="A1405" s="28"/>
      <c r="B1405" s="26"/>
      <c r="C1405" s="27"/>
      <c r="D1405" s="27"/>
      <c r="E1405" s="26"/>
      <c r="F1405" s="26"/>
      <c r="G1405" s="26"/>
    </row>
    <row r="1406">
      <c r="A1406" s="28"/>
      <c r="B1406" s="26"/>
      <c r="C1406" s="27"/>
      <c r="D1406" s="27"/>
      <c r="E1406" s="26"/>
      <c r="F1406" s="26"/>
      <c r="G1406" s="26"/>
    </row>
    <row r="1407">
      <c r="A1407" s="28"/>
      <c r="B1407" s="26"/>
      <c r="C1407" s="27"/>
      <c r="D1407" s="27"/>
      <c r="E1407" s="26"/>
      <c r="F1407" s="26"/>
      <c r="G1407" s="26"/>
    </row>
    <row r="1408">
      <c r="A1408" s="28"/>
      <c r="B1408" s="26"/>
      <c r="C1408" s="27"/>
      <c r="D1408" s="27"/>
      <c r="E1408" s="26"/>
      <c r="F1408" s="26"/>
      <c r="G1408" s="26"/>
    </row>
    <row r="1409">
      <c r="A1409" s="28"/>
      <c r="B1409" s="26"/>
      <c r="C1409" s="27"/>
      <c r="D1409" s="27"/>
      <c r="E1409" s="26"/>
      <c r="F1409" s="26"/>
      <c r="G1409" s="26"/>
    </row>
    <row r="1410">
      <c r="A1410" s="28"/>
      <c r="B1410" s="26"/>
      <c r="C1410" s="27"/>
      <c r="D1410" s="27"/>
      <c r="E1410" s="26"/>
      <c r="F1410" s="26"/>
      <c r="G1410" s="26"/>
    </row>
    <row r="1411">
      <c r="A1411" s="28"/>
      <c r="B1411" s="26"/>
      <c r="C1411" s="27"/>
      <c r="D1411" s="27"/>
      <c r="E1411" s="26"/>
      <c r="F1411" s="26"/>
      <c r="G1411" s="26"/>
    </row>
    <row r="1412">
      <c r="A1412" s="28"/>
      <c r="B1412" s="26"/>
      <c r="C1412" s="27"/>
      <c r="D1412" s="27"/>
      <c r="E1412" s="26"/>
      <c r="F1412" s="26"/>
      <c r="G1412" s="26"/>
    </row>
    <row r="1413">
      <c r="A1413" s="28"/>
      <c r="B1413" s="26"/>
      <c r="C1413" s="27"/>
      <c r="D1413" s="27"/>
      <c r="E1413" s="26"/>
      <c r="F1413" s="26"/>
      <c r="G1413" s="26"/>
    </row>
    <row r="1414">
      <c r="A1414" s="28"/>
      <c r="B1414" s="26"/>
      <c r="C1414" s="27"/>
      <c r="D1414" s="27"/>
      <c r="E1414" s="26"/>
      <c r="F1414" s="26"/>
      <c r="G1414" s="26"/>
    </row>
    <row r="1415">
      <c r="A1415" s="28"/>
      <c r="B1415" s="26"/>
      <c r="C1415" s="27"/>
      <c r="D1415" s="27"/>
      <c r="E1415" s="26"/>
      <c r="F1415" s="26"/>
      <c r="G1415" s="26"/>
    </row>
    <row r="1416">
      <c r="A1416" s="28"/>
      <c r="B1416" s="26"/>
      <c r="C1416" s="27"/>
      <c r="D1416" s="27"/>
      <c r="E1416" s="26"/>
      <c r="F1416" s="26"/>
      <c r="G1416" s="26"/>
    </row>
    <row r="1417">
      <c r="A1417" s="28"/>
      <c r="B1417" s="26"/>
      <c r="C1417" s="27"/>
      <c r="D1417" s="27"/>
      <c r="E1417" s="26"/>
      <c r="F1417" s="26"/>
      <c r="G1417" s="26"/>
    </row>
    <row r="1418">
      <c r="A1418" s="28"/>
      <c r="B1418" s="26"/>
      <c r="C1418" s="27"/>
      <c r="D1418" s="27"/>
      <c r="E1418" s="26"/>
      <c r="F1418" s="26"/>
      <c r="G1418" s="26"/>
    </row>
    <row r="1419">
      <c r="A1419" s="28"/>
      <c r="B1419" s="26"/>
      <c r="C1419" s="27"/>
      <c r="D1419" s="27"/>
      <c r="E1419" s="26"/>
      <c r="F1419" s="26"/>
      <c r="G1419" s="26"/>
    </row>
    <row r="1420">
      <c r="A1420" s="28"/>
      <c r="B1420" s="26"/>
      <c r="C1420" s="27"/>
      <c r="D1420" s="27"/>
      <c r="E1420" s="26"/>
      <c r="F1420" s="26"/>
      <c r="G1420" s="26"/>
    </row>
    <row r="1421">
      <c r="A1421" s="28"/>
      <c r="B1421" s="26"/>
      <c r="C1421" s="27"/>
      <c r="D1421" s="27"/>
      <c r="E1421" s="26"/>
      <c r="F1421" s="26"/>
      <c r="G1421" s="26"/>
    </row>
    <row r="1422">
      <c r="A1422" s="28"/>
      <c r="B1422" s="26"/>
      <c r="C1422" s="27"/>
      <c r="D1422" s="27"/>
      <c r="E1422" s="26"/>
      <c r="F1422" s="26"/>
      <c r="G1422" s="26"/>
    </row>
    <row r="1423">
      <c r="A1423" s="28"/>
      <c r="B1423" s="26"/>
      <c r="C1423" s="27"/>
      <c r="D1423" s="27"/>
      <c r="E1423" s="26"/>
      <c r="F1423" s="26"/>
      <c r="G1423" s="26"/>
    </row>
    <row r="1424">
      <c r="A1424" s="28"/>
      <c r="B1424" s="26"/>
      <c r="C1424" s="27"/>
      <c r="D1424" s="27"/>
      <c r="E1424" s="26"/>
      <c r="F1424" s="26"/>
      <c r="G1424" s="26"/>
    </row>
    <row r="1425">
      <c r="A1425" s="28"/>
      <c r="B1425" s="26"/>
      <c r="C1425" s="27"/>
      <c r="D1425" s="27"/>
      <c r="E1425" s="26"/>
      <c r="F1425" s="26"/>
      <c r="G1425" s="26"/>
    </row>
    <row r="1426">
      <c r="A1426" s="28"/>
      <c r="B1426" s="26"/>
      <c r="C1426" s="27"/>
      <c r="D1426" s="27"/>
      <c r="E1426" s="26"/>
      <c r="F1426" s="26"/>
      <c r="G1426" s="26"/>
    </row>
    <row r="1427">
      <c r="A1427" s="28"/>
      <c r="B1427" s="26"/>
      <c r="C1427" s="27"/>
      <c r="D1427" s="27"/>
      <c r="E1427" s="26"/>
      <c r="F1427" s="26"/>
      <c r="G1427" s="26"/>
    </row>
    <row r="1428">
      <c r="A1428" s="28"/>
      <c r="B1428" s="26"/>
      <c r="C1428" s="27"/>
      <c r="D1428" s="27"/>
      <c r="E1428" s="26"/>
      <c r="F1428" s="26"/>
      <c r="G1428" s="26"/>
    </row>
    <row r="1429">
      <c r="A1429" s="28"/>
      <c r="B1429" s="26"/>
      <c r="C1429" s="27"/>
      <c r="D1429" s="27"/>
      <c r="E1429" s="26"/>
      <c r="F1429" s="26"/>
      <c r="G1429" s="26"/>
    </row>
    <row r="1430">
      <c r="A1430" s="28"/>
      <c r="B1430" s="26"/>
      <c r="C1430" s="27"/>
      <c r="D1430" s="27"/>
      <c r="E1430" s="26"/>
      <c r="F1430" s="26"/>
      <c r="G1430" s="26"/>
    </row>
    <row r="1431">
      <c r="A1431" s="28"/>
      <c r="B1431" s="26"/>
      <c r="C1431" s="27"/>
      <c r="D1431" s="27"/>
      <c r="E1431" s="26"/>
      <c r="F1431" s="26"/>
      <c r="G1431" s="26"/>
    </row>
    <row r="1432">
      <c r="A1432" s="28"/>
      <c r="B1432" s="26"/>
      <c r="C1432" s="27"/>
      <c r="D1432" s="27"/>
      <c r="E1432" s="26"/>
      <c r="F1432" s="26"/>
      <c r="G1432" s="26"/>
    </row>
    <row r="1433">
      <c r="A1433" s="28"/>
      <c r="B1433" s="26"/>
      <c r="C1433" s="27"/>
      <c r="D1433" s="27"/>
      <c r="E1433" s="26"/>
      <c r="F1433" s="26"/>
      <c r="G1433" s="26"/>
    </row>
    <row r="1434">
      <c r="A1434" s="28"/>
      <c r="B1434" s="26"/>
      <c r="C1434" s="27"/>
      <c r="D1434" s="27"/>
      <c r="E1434" s="26"/>
      <c r="F1434" s="26"/>
      <c r="G1434" s="26"/>
    </row>
    <row r="1435">
      <c r="A1435" s="28"/>
      <c r="B1435" s="26"/>
      <c r="C1435" s="27"/>
      <c r="D1435" s="27"/>
      <c r="E1435" s="26"/>
      <c r="F1435" s="26"/>
      <c r="G1435" s="26"/>
    </row>
    <row r="1436">
      <c r="A1436" s="28"/>
      <c r="B1436" s="26"/>
      <c r="C1436" s="27"/>
      <c r="D1436" s="27"/>
      <c r="E1436" s="26"/>
      <c r="F1436" s="26"/>
      <c r="G1436" s="26"/>
    </row>
    <row r="1437">
      <c r="A1437" s="28"/>
      <c r="B1437" s="26"/>
      <c r="C1437" s="27"/>
      <c r="D1437" s="27"/>
      <c r="E1437" s="26"/>
      <c r="F1437" s="26"/>
      <c r="G1437" s="26"/>
    </row>
    <row r="1438">
      <c r="A1438" s="28"/>
      <c r="B1438" s="26"/>
      <c r="C1438" s="27"/>
      <c r="D1438" s="27"/>
      <c r="E1438" s="26"/>
      <c r="F1438" s="26"/>
      <c r="G1438" s="26"/>
    </row>
    <row r="1439">
      <c r="A1439" s="28"/>
      <c r="B1439" s="26"/>
      <c r="C1439" s="27"/>
      <c r="D1439" s="27"/>
      <c r="E1439" s="26"/>
      <c r="F1439" s="26"/>
      <c r="G1439" s="26"/>
    </row>
    <row r="1440">
      <c r="A1440" s="28"/>
      <c r="B1440" s="26"/>
      <c r="C1440" s="27"/>
      <c r="D1440" s="27"/>
      <c r="E1440" s="26"/>
      <c r="F1440" s="26"/>
      <c r="G1440" s="26"/>
    </row>
    <row r="1441">
      <c r="A1441" s="28"/>
      <c r="B1441" s="26"/>
      <c r="C1441" s="27"/>
      <c r="D1441" s="27"/>
      <c r="E1441" s="26"/>
      <c r="F1441" s="26"/>
      <c r="G1441" s="26"/>
    </row>
    <row r="1442">
      <c r="A1442" s="28"/>
      <c r="B1442" s="26"/>
      <c r="C1442" s="27"/>
      <c r="D1442" s="27"/>
      <c r="E1442" s="26"/>
      <c r="F1442" s="26"/>
      <c r="G1442" s="26"/>
    </row>
    <row r="1443">
      <c r="A1443" s="28"/>
      <c r="B1443" s="26"/>
      <c r="C1443" s="27"/>
      <c r="D1443" s="27"/>
      <c r="E1443" s="26"/>
      <c r="F1443" s="26"/>
      <c r="G1443" s="26"/>
    </row>
    <row r="1444">
      <c r="A1444" s="28"/>
      <c r="B1444" s="26"/>
      <c r="C1444" s="27"/>
      <c r="D1444" s="27"/>
      <c r="E1444" s="26"/>
      <c r="F1444" s="26"/>
      <c r="G1444" s="26"/>
    </row>
    <row r="1445">
      <c r="A1445" s="28"/>
      <c r="B1445" s="26"/>
      <c r="C1445" s="27"/>
      <c r="D1445" s="27"/>
      <c r="E1445" s="26"/>
      <c r="F1445" s="26"/>
      <c r="G1445" s="26"/>
    </row>
    <row r="1446">
      <c r="A1446" s="28"/>
      <c r="B1446" s="26"/>
      <c r="C1446" s="27"/>
      <c r="D1446" s="27"/>
      <c r="E1446" s="26"/>
      <c r="F1446" s="26"/>
      <c r="G1446" s="26"/>
    </row>
    <row r="1447">
      <c r="A1447" s="28"/>
      <c r="B1447" s="26"/>
      <c r="C1447" s="27"/>
      <c r="D1447" s="27"/>
      <c r="E1447" s="26"/>
      <c r="F1447" s="26"/>
      <c r="G1447" s="26"/>
    </row>
    <row r="1448">
      <c r="A1448" s="28"/>
      <c r="B1448" s="26"/>
      <c r="C1448" s="27"/>
      <c r="D1448" s="27"/>
      <c r="E1448" s="26"/>
      <c r="F1448" s="26"/>
      <c r="G1448" s="26"/>
    </row>
    <row r="1449">
      <c r="A1449" s="28"/>
      <c r="B1449" s="26"/>
      <c r="C1449" s="27"/>
      <c r="D1449" s="27"/>
      <c r="E1449" s="26"/>
      <c r="F1449" s="26"/>
      <c r="G1449" s="26"/>
    </row>
    <row r="1450">
      <c r="A1450" s="28"/>
      <c r="B1450" s="26"/>
      <c r="C1450" s="27"/>
      <c r="D1450" s="27"/>
      <c r="E1450" s="26"/>
      <c r="F1450" s="26"/>
      <c r="G1450" s="26"/>
    </row>
    <row r="1451">
      <c r="A1451" s="28"/>
      <c r="B1451" s="26"/>
      <c r="C1451" s="27"/>
      <c r="D1451" s="27"/>
      <c r="E1451" s="26"/>
      <c r="F1451" s="26"/>
      <c r="G1451" s="26"/>
    </row>
    <row r="1452">
      <c r="A1452" s="28"/>
      <c r="B1452" s="26"/>
      <c r="C1452" s="27"/>
      <c r="D1452" s="27"/>
      <c r="E1452" s="26"/>
      <c r="F1452" s="26"/>
      <c r="G1452" s="26"/>
    </row>
    <row r="1453">
      <c r="A1453" s="28"/>
      <c r="B1453" s="26"/>
      <c r="C1453" s="27"/>
      <c r="D1453" s="27"/>
      <c r="E1453" s="26"/>
      <c r="F1453" s="26"/>
      <c r="G1453" s="26"/>
    </row>
    <row r="1454">
      <c r="A1454" s="28"/>
      <c r="B1454" s="26"/>
      <c r="C1454" s="27"/>
      <c r="D1454" s="27"/>
      <c r="E1454" s="26"/>
      <c r="F1454" s="26"/>
      <c r="G1454" s="26"/>
    </row>
    <row r="1455">
      <c r="A1455" s="28"/>
      <c r="B1455" s="26"/>
      <c r="C1455" s="27"/>
      <c r="D1455" s="27"/>
      <c r="E1455" s="26"/>
      <c r="F1455" s="26"/>
      <c r="G1455" s="26"/>
    </row>
    <row r="1456">
      <c r="A1456" s="28"/>
      <c r="B1456" s="26"/>
      <c r="C1456" s="27"/>
      <c r="D1456" s="27"/>
      <c r="E1456" s="26"/>
      <c r="F1456" s="26"/>
      <c r="G1456" s="26"/>
    </row>
    <row r="1457">
      <c r="A1457" s="28"/>
      <c r="B1457" s="26"/>
      <c r="C1457" s="27"/>
      <c r="D1457" s="27"/>
      <c r="E1457" s="26"/>
      <c r="F1457" s="26"/>
      <c r="G1457" s="26"/>
    </row>
    <row r="1458">
      <c r="A1458" s="28"/>
      <c r="B1458" s="26"/>
      <c r="C1458" s="27"/>
      <c r="D1458" s="27"/>
      <c r="E1458" s="26"/>
      <c r="F1458" s="26"/>
      <c r="G1458" s="26"/>
    </row>
    <row r="1459">
      <c r="A1459" s="28"/>
      <c r="B1459" s="26"/>
      <c r="C1459" s="27"/>
      <c r="D1459" s="27"/>
      <c r="E1459" s="26"/>
      <c r="F1459" s="26"/>
      <c r="G1459" s="26"/>
    </row>
    <row r="1460">
      <c r="A1460" s="28"/>
      <c r="B1460" s="26"/>
      <c r="C1460" s="27"/>
      <c r="D1460" s="27"/>
      <c r="E1460" s="26"/>
      <c r="F1460" s="26"/>
      <c r="G1460" s="26"/>
    </row>
    <row r="1461">
      <c r="A1461" s="28"/>
      <c r="B1461" s="26"/>
      <c r="C1461" s="27"/>
      <c r="D1461" s="27"/>
      <c r="E1461" s="26"/>
      <c r="F1461" s="26"/>
      <c r="G1461" s="26"/>
    </row>
    <row r="1462">
      <c r="A1462" s="28"/>
      <c r="B1462" s="26"/>
      <c r="C1462" s="27"/>
      <c r="D1462" s="27"/>
      <c r="E1462" s="26"/>
      <c r="F1462" s="26"/>
      <c r="G1462" s="26"/>
    </row>
    <row r="1463">
      <c r="A1463" s="28"/>
      <c r="B1463" s="26"/>
      <c r="C1463" s="27"/>
      <c r="D1463" s="27"/>
      <c r="E1463" s="26"/>
      <c r="F1463" s="26"/>
      <c r="G1463" s="26"/>
    </row>
    <row r="1464">
      <c r="A1464" s="28"/>
      <c r="B1464" s="26"/>
      <c r="C1464" s="27"/>
      <c r="D1464" s="27"/>
      <c r="E1464" s="26"/>
      <c r="F1464" s="26"/>
      <c r="G1464" s="26"/>
    </row>
    <row r="1465">
      <c r="A1465" s="28"/>
      <c r="B1465" s="26"/>
      <c r="C1465" s="27"/>
      <c r="D1465" s="27"/>
      <c r="E1465" s="26"/>
      <c r="F1465" s="26"/>
      <c r="G1465" s="26"/>
    </row>
    <row r="1466">
      <c r="A1466" s="28"/>
      <c r="B1466" s="26"/>
      <c r="C1466" s="27"/>
      <c r="D1466" s="27"/>
      <c r="E1466" s="26"/>
      <c r="F1466" s="26"/>
      <c r="G1466" s="26"/>
    </row>
    <row r="1467">
      <c r="A1467" s="28"/>
      <c r="B1467" s="26"/>
      <c r="C1467" s="27"/>
      <c r="D1467" s="27"/>
      <c r="E1467" s="26"/>
      <c r="F1467" s="26"/>
      <c r="G1467" s="26"/>
    </row>
    <row r="1468">
      <c r="A1468" s="28"/>
      <c r="B1468" s="26"/>
      <c r="C1468" s="27"/>
      <c r="D1468" s="27"/>
      <c r="E1468" s="26"/>
      <c r="F1468" s="26"/>
      <c r="G1468" s="26"/>
    </row>
    <row r="1469">
      <c r="A1469" s="28"/>
      <c r="B1469" s="26"/>
      <c r="C1469" s="27"/>
      <c r="D1469" s="27"/>
      <c r="E1469" s="26"/>
      <c r="F1469" s="26"/>
      <c r="G1469" s="26"/>
    </row>
    <row r="1470">
      <c r="A1470" s="28"/>
      <c r="B1470" s="26"/>
      <c r="C1470" s="27"/>
      <c r="D1470" s="27"/>
      <c r="E1470" s="26"/>
      <c r="F1470" s="26"/>
      <c r="G1470" s="26"/>
    </row>
    <row r="1471">
      <c r="A1471" s="28"/>
      <c r="B1471" s="26"/>
      <c r="C1471" s="27"/>
      <c r="D1471" s="27"/>
      <c r="E1471" s="26"/>
      <c r="F1471" s="26"/>
      <c r="G1471" s="26"/>
    </row>
    <row r="1472">
      <c r="A1472" s="28"/>
      <c r="B1472" s="26"/>
      <c r="C1472" s="27"/>
      <c r="D1472" s="27"/>
      <c r="E1472" s="26"/>
      <c r="F1472" s="26"/>
      <c r="G1472" s="26"/>
    </row>
    <row r="1473">
      <c r="A1473" s="28"/>
      <c r="B1473" s="26"/>
      <c r="C1473" s="27"/>
      <c r="D1473" s="27"/>
      <c r="E1473" s="26"/>
      <c r="F1473" s="26"/>
      <c r="G1473" s="26"/>
    </row>
    <row r="1474">
      <c r="A1474" s="28"/>
      <c r="B1474" s="26"/>
      <c r="C1474" s="27"/>
      <c r="D1474" s="27"/>
      <c r="E1474" s="26"/>
      <c r="F1474" s="26"/>
      <c r="G1474" s="26"/>
    </row>
    <row r="1475">
      <c r="A1475" s="28"/>
      <c r="B1475" s="26"/>
      <c r="C1475" s="27"/>
      <c r="D1475" s="27"/>
      <c r="E1475" s="26"/>
      <c r="F1475" s="26"/>
      <c r="G1475" s="26"/>
    </row>
    <row r="1476">
      <c r="A1476" s="28"/>
      <c r="B1476" s="26"/>
      <c r="C1476" s="27"/>
      <c r="D1476" s="27"/>
      <c r="E1476" s="26"/>
      <c r="F1476" s="26"/>
      <c r="G1476" s="26"/>
    </row>
    <row r="1477">
      <c r="A1477" s="28"/>
      <c r="B1477" s="26"/>
      <c r="C1477" s="27"/>
      <c r="D1477" s="27"/>
      <c r="E1477" s="26"/>
      <c r="F1477" s="26"/>
      <c r="G1477" s="26"/>
    </row>
    <row r="1478">
      <c r="A1478" s="28"/>
      <c r="B1478" s="26"/>
      <c r="C1478" s="27"/>
      <c r="D1478" s="27"/>
      <c r="E1478" s="26"/>
      <c r="F1478" s="26"/>
      <c r="G1478" s="26"/>
    </row>
    <row r="1479">
      <c r="A1479" s="28"/>
      <c r="B1479" s="26"/>
      <c r="C1479" s="27"/>
      <c r="D1479" s="27"/>
      <c r="E1479" s="26"/>
      <c r="F1479" s="26"/>
      <c r="G1479" s="26"/>
    </row>
    <row r="1480">
      <c r="A1480" s="28"/>
      <c r="B1480" s="26"/>
      <c r="C1480" s="27"/>
      <c r="D1480" s="27"/>
      <c r="E1480" s="26"/>
      <c r="F1480" s="26"/>
      <c r="G1480" s="26"/>
    </row>
    <row r="1481">
      <c r="A1481" s="28"/>
      <c r="B1481" s="26"/>
      <c r="C1481" s="27"/>
      <c r="D1481" s="27"/>
      <c r="E1481" s="26"/>
      <c r="F1481" s="26"/>
      <c r="G1481" s="26"/>
    </row>
    <row r="1482">
      <c r="A1482" s="28"/>
      <c r="B1482" s="26"/>
      <c r="C1482" s="27"/>
      <c r="D1482" s="27"/>
      <c r="E1482" s="26"/>
      <c r="F1482" s="26"/>
      <c r="G1482" s="26"/>
    </row>
    <row r="1483">
      <c r="A1483" s="28"/>
      <c r="B1483" s="26"/>
      <c r="C1483" s="27"/>
      <c r="D1483" s="27"/>
      <c r="E1483" s="26"/>
      <c r="F1483" s="26"/>
      <c r="G1483" s="26"/>
    </row>
    <row r="1484">
      <c r="A1484" s="28"/>
      <c r="B1484" s="26"/>
      <c r="C1484" s="27"/>
      <c r="D1484" s="27"/>
      <c r="E1484" s="26"/>
      <c r="F1484" s="26"/>
      <c r="G1484" s="26"/>
    </row>
    <row r="1485">
      <c r="A1485" s="28"/>
      <c r="B1485" s="26"/>
      <c r="C1485" s="27"/>
      <c r="D1485" s="27"/>
      <c r="E1485" s="26"/>
      <c r="F1485" s="26"/>
      <c r="G1485" s="26"/>
    </row>
    <row r="1486">
      <c r="A1486" s="28"/>
      <c r="B1486" s="26"/>
      <c r="C1486" s="27"/>
      <c r="D1486" s="27"/>
      <c r="E1486" s="26"/>
      <c r="F1486" s="26"/>
      <c r="G1486" s="26"/>
    </row>
    <row r="1487">
      <c r="A1487" s="28"/>
      <c r="B1487" s="26"/>
      <c r="C1487" s="27"/>
      <c r="D1487" s="27"/>
      <c r="E1487" s="26"/>
      <c r="F1487" s="26"/>
      <c r="G1487" s="26"/>
    </row>
    <row r="1488">
      <c r="A1488" s="28"/>
      <c r="B1488" s="26"/>
      <c r="C1488" s="27"/>
      <c r="D1488" s="27"/>
      <c r="E1488" s="26"/>
      <c r="F1488" s="26"/>
      <c r="G1488" s="26"/>
    </row>
    <row r="1489">
      <c r="A1489" s="28"/>
      <c r="B1489" s="26"/>
      <c r="C1489" s="27"/>
      <c r="D1489" s="27"/>
      <c r="E1489" s="26"/>
      <c r="F1489" s="26"/>
      <c r="G1489" s="26"/>
    </row>
    <row r="1490">
      <c r="A1490" s="28"/>
      <c r="B1490" s="26"/>
      <c r="C1490" s="27"/>
      <c r="D1490" s="27"/>
      <c r="E1490" s="26"/>
      <c r="F1490" s="26"/>
      <c r="G1490" s="26"/>
    </row>
    <row r="1491">
      <c r="A1491" s="28"/>
      <c r="B1491" s="26"/>
      <c r="C1491" s="27"/>
      <c r="D1491" s="27"/>
      <c r="E1491" s="26"/>
      <c r="F1491" s="26"/>
      <c r="G1491" s="26"/>
    </row>
    <row r="1492">
      <c r="A1492" s="28"/>
      <c r="B1492" s="26"/>
      <c r="C1492" s="27"/>
      <c r="D1492" s="27"/>
      <c r="E1492" s="26"/>
      <c r="F1492" s="26"/>
      <c r="G1492" s="26"/>
    </row>
    <row r="1493">
      <c r="A1493" s="28"/>
      <c r="B1493" s="26"/>
      <c r="C1493" s="27"/>
      <c r="D1493" s="27"/>
      <c r="E1493" s="26"/>
      <c r="F1493" s="26"/>
      <c r="G1493" s="26"/>
    </row>
    <row r="1494">
      <c r="A1494" s="28"/>
      <c r="B1494" s="26"/>
      <c r="C1494" s="27"/>
      <c r="D1494" s="27"/>
      <c r="E1494" s="26"/>
      <c r="F1494" s="26"/>
      <c r="G1494" s="26"/>
    </row>
    <row r="1495">
      <c r="A1495" s="28"/>
      <c r="B1495" s="26"/>
      <c r="C1495" s="27"/>
      <c r="D1495" s="27"/>
      <c r="E1495" s="26"/>
      <c r="F1495" s="26"/>
      <c r="G1495" s="26"/>
    </row>
    <row r="1496">
      <c r="A1496" s="28"/>
      <c r="B1496" s="26"/>
      <c r="C1496" s="27"/>
      <c r="D1496" s="27"/>
      <c r="E1496" s="26"/>
      <c r="F1496" s="26"/>
      <c r="G1496" s="26"/>
    </row>
    <row r="1497">
      <c r="A1497" s="28"/>
      <c r="B1497" s="26"/>
      <c r="C1497" s="27"/>
      <c r="D1497" s="27"/>
      <c r="E1497" s="26"/>
      <c r="F1497" s="26"/>
      <c r="G1497" s="26"/>
    </row>
    <row r="1498">
      <c r="A1498" s="28"/>
      <c r="B1498" s="26"/>
      <c r="C1498" s="27"/>
      <c r="D1498" s="27"/>
      <c r="E1498" s="26"/>
      <c r="F1498" s="26"/>
      <c r="G1498" s="26"/>
    </row>
    <row r="1499">
      <c r="A1499" s="28"/>
      <c r="B1499" s="26"/>
      <c r="C1499" s="27"/>
      <c r="D1499" s="27"/>
      <c r="E1499" s="26"/>
      <c r="F1499" s="26"/>
      <c r="G1499" s="26"/>
    </row>
    <row r="1500">
      <c r="A1500" s="28"/>
      <c r="B1500" s="26"/>
      <c r="C1500" s="27"/>
      <c r="D1500" s="27"/>
      <c r="E1500" s="26"/>
      <c r="F1500" s="26"/>
      <c r="G1500" s="26"/>
    </row>
    <row r="1501">
      <c r="A1501" s="28"/>
      <c r="B1501" s="26"/>
      <c r="C1501" s="27"/>
      <c r="D1501" s="27"/>
      <c r="E1501" s="26"/>
      <c r="F1501" s="26"/>
      <c r="G1501" s="26"/>
    </row>
    <row r="1502">
      <c r="A1502" s="28"/>
      <c r="B1502" s="26"/>
      <c r="C1502" s="27"/>
      <c r="D1502" s="27"/>
      <c r="E1502" s="26"/>
      <c r="F1502" s="26"/>
      <c r="G1502" s="26"/>
    </row>
    <row r="1503">
      <c r="A1503" s="28"/>
      <c r="B1503" s="26"/>
      <c r="C1503" s="27"/>
      <c r="D1503" s="27"/>
      <c r="E1503" s="26"/>
      <c r="F1503" s="26"/>
      <c r="G1503" s="26"/>
    </row>
    <row r="1504">
      <c r="A1504" s="28"/>
      <c r="B1504" s="26"/>
      <c r="C1504" s="27"/>
      <c r="D1504" s="27"/>
      <c r="E1504" s="26"/>
      <c r="F1504" s="26"/>
      <c r="G1504" s="26"/>
    </row>
    <row r="1505">
      <c r="A1505" s="28"/>
      <c r="B1505" s="26"/>
      <c r="C1505" s="27"/>
      <c r="D1505" s="27"/>
      <c r="E1505" s="26"/>
      <c r="F1505" s="26"/>
      <c r="G1505" s="26"/>
    </row>
    <row r="1506">
      <c r="A1506" s="28"/>
      <c r="B1506" s="26"/>
      <c r="C1506" s="27"/>
      <c r="D1506" s="27"/>
      <c r="E1506" s="26"/>
      <c r="F1506" s="26"/>
      <c r="G1506" s="26"/>
    </row>
    <row r="1507">
      <c r="A1507" s="28"/>
      <c r="B1507" s="26"/>
      <c r="C1507" s="27"/>
      <c r="D1507" s="27"/>
      <c r="E1507" s="26"/>
      <c r="F1507" s="26"/>
      <c r="G1507" s="26"/>
    </row>
    <row r="1508">
      <c r="A1508" s="28"/>
      <c r="B1508" s="26"/>
      <c r="C1508" s="27"/>
      <c r="D1508" s="27"/>
      <c r="E1508" s="26"/>
      <c r="F1508" s="26"/>
      <c r="G1508" s="26"/>
    </row>
    <row r="1509">
      <c r="A1509" s="28"/>
      <c r="B1509" s="26"/>
      <c r="C1509" s="27"/>
      <c r="D1509" s="27"/>
      <c r="E1509" s="26"/>
      <c r="F1509" s="26"/>
      <c r="G1509" s="26"/>
    </row>
    <row r="1510">
      <c r="A1510" s="28"/>
      <c r="B1510" s="26"/>
      <c r="C1510" s="27"/>
      <c r="D1510" s="27"/>
      <c r="E1510" s="26"/>
      <c r="F1510" s="26"/>
      <c r="G1510" s="26"/>
    </row>
    <row r="1511">
      <c r="A1511" s="28"/>
      <c r="B1511" s="26"/>
      <c r="C1511" s="27"/>
      <c r="D1511" s="27"/>
      <c r="E1511" s="26"/>
      <c r="F1511" s="26"/>
      <c r="G1511" s="26"/>
    </row>
    <row r="1512">
      <c r="A1512" s="28"/>
      <c r="B1512" s="26"/>
      <c r="C1512" s="27"/>
      <c r="D1512" s="27"/>
      <c r="E1512" s="26"/>
      <c r="F1512" s="26"/>
      <c r="G1512" s="26"/>
    </row>
    <row r="1513">
      <c r="A1513" s="28"/>
      <c r="B1513" s="26"/>
      <c r="C1513" s="27"/>
      <c r="D1513" s="27"/>
      <c r="E1513" s="26"/>
      <c r="F1513" s="26"/>
      <c r="G1513" s="26"/>
    </row>
    <row r="1514">
      <c r="A1514" s="28"/>
      <c r="B1514" s="26"/>
      <c r="C1514" s="27"/>
      <c r="D1514" s="27"/>
      <c r="E1514" s="26"/>
      <c r="F1514" s="26"/>
      <c r="G1514" s="26"/>
    </row>
    <row r="1515">
      <c r="A1515" s="28"/>
      <c r="B1515" s="26"/>
      <c r="C1515" s="27"/>
      <c r="D1515" s="27"/>
      <c r="E1515" s="26"/>
      <c r="F1515" s="26"/>
      <c r="G1515" s="26"/>
    </row>
    <row r="1516">
      <c r="A1516" s="28"/>
      <c r="B1516" s="26"/>
      <c r="C1516" s="27"/>
      <c r="D1516" s="27"/>
      <c r="E1516" s="26"/>
      <c r="F1516" s="26"/>
      <c r="G1516" s="26"/>
    </row>
    <row r="1517">
      <c r="A1517" s="28"/>
      <c r="B1517" s="26"/>
      <c r="C1517" s="27"/>
      <c r="D1517" s="27"/>
      <c r="E1517" s="26"/>
      <c r="F1517" s="26"/>
      <c r="G1517" s="26"/>
    </row>
    <row r="1518">
      <c r="A1518" s="28"/>
      <c r="B1518" s="26"/>
      <c r="C1518" s="27"/>
      <c r="D1518" s="27"/>
      <c r="E1518" s="26"/>
      <c r="F1518" s="26"/>
      <c r="G1518" s="26"/>
    </row>
    <row r="1519">
      <c r="A1519" s="28"/>
      <c r="B1519" s="26"/>
      <c r="C1519" s="27"/>
      <c r="D1519" s="27"/>
      <c r="E1519" s="26"/>
      <c r="F1519" s="26"/>
      <c r="G1519" s="26"/>
    </row>
    <row r="1520">
      <c r="A1520" s="28"/>
      <c r="B1520" s="26"/>
      <c r="C1520" s="27"/>
      <c r="D1520" s="27"/>
      <c r="E1520" s="26"/>
      <c r="F1520" s="26"/>
      <c r="G1520" s="26"/>
    </row>
    <row r="1521">
      <c r="A1521" s="28"/>
      <c r="B1521" s="26"/>
      <c r="C1521" s="27"/>
      <c r="D1521" s="27"/>
      <c r="E1521" s="26"/>
      <c r="F1521" s="26"/>
      <c r="G1521" s="26"/>
    </row>
    <row r="1522">
      <c r="A1522" s="28"/>
      <c r="B1522" s="26"/>
      <c r="C1522" s="27"/>
      <c r="D1522" s="27"/>
      <c r="E1522" s="26"/>
      <c r="F1522" s="26"/>
      <c r="G1522" s="26"/>
    </row>
    <row r="1523">
      <c r="A1523" s="28"/>
      <c r="B1523" s="26"/>
      <c r="C1523" s="27"/>
      <c r="D1523" s="27"/>
      <c r="E1523" s="26"/>
      <c r="F1523" s="26"/>
      <c r="G1523" s="26"/>
    </row>
    <row r="1524">
      <c r="A1524" s="28"/>
      <c r="B1524" s="26"/>
      <c r="C1524" s="27"/>
      <c r="D1524" s="27"/>
      <c r="E1524" s="26"/>
      <c r="F1524" s="26"/>
      <c r="G1524" s="26"/>
    </row>
    <row r="1525">
      <c r="A1525" s="28"/>
      <c r="B1525" s="26"/>
      <c r="C1525" s="27"/>
      <c r="D1525" s="27"/>
      <c r="E1525" s="26"/>
      <c r="F1525" s="26"/>
      <c r="G1525" s="26"/>
    </row>
    <row r="1526">
      <c r="A1526" s="28"/>
      <c r="B1526" s="26"/>
      <c r="C1526" s="27"/>
      <c r="D1526" s="27"/>
      <c r="E1526" s="26"/>
      <c r="F1526" s="26"/>
      <c r="G1526" s="26"/>
    </row>
    <row r="1527">
      <c r="A1527" s="28"/>
      <c r="B1527" s="26"/>
      <c r="C1527" s="27"/>
      <c r="D1527" s="27"/>
      <c r="E1527" s="26"/>
      <c r="F1527" s="26"/>
      <c r="G1527" s="26"/>
    </row>
    <row r="1528">
      <c r="A1528" s="28"/>
      <c r="B1528" s="26"/>
      <c r="C1528" s="27"/>
      <c r="D1528" s="27"/>
      <c r="E1528" s="26"/>
      <c r="F1528" s="26"/>
      <c r="G1528" s="26"/>
    </row>
    <row r="1529">
      <c r="A1529" s="28"/>
      <c r="B1529" s="26"/>
      <c r="C1529" s="27"/>
      <c r="D1529" s="27"/>
      <c r="E1529" s="26"/>
      <c r="F1529" s="26"/>
      <c r="G1529" s="26"/>
    </row>
    <row r="1530">
      <c r="A1530" s="28"/>
      <c r="B1530" s="26"/>
      <c r="C1530" s="27"/>
      <c r="D1530" s="27"/>
      <c r="E1530" s="26"/>
      <c r="F1530" s="26"/>
      <c r="G1530" s="26"/>
    </row>
    <row r="1531">
      <c r="A1531" s="28"/>
      <c r="B1531" s="26"/>
      <c r="C1531" s="27"/>
      <c r="D1531" s="27"/>
      <c r="E1531" s="26"/>
      <c r="F1531" s="26"/>
      <c r="G1531" s="26"/>
    </row>
    <row r="1532">
      <c r="A1532" s="28"/>
      <c r="B1532" s="26"/>
      <c r="C1532" s="27"/>
      <c r="D1532" s="27"/>
      <c r="E1532" s="26"/>
      <c r="F1532" s="26"/>
      <c r="G1532" s="26"/>
    </row>
    <row r="1533">
      <c r="A1533" s="28"/>
      <c r="B1533" s="26"/>
      <c r="C1533" s="27"/>
      <c r="D1533" s="27"/>
      <c r="E1533" s="26"/>
      <c r="F1533" s="26"/>
      <c r="G1533" s="26"/>
    </row>
    <row r="1534">
      <c r="A1534" s="28"/>
      <c r="B1534" s="26"/>
      <c r="C1534" s="27"/>
      <c r="D1534" s="27"/>
      <c r="E1534" s="26"/>
      <c r="F1534" s="26"/>
      <c r="G1534" s="26"/>
    </row>
    <row r="1535">
      <c r="A1535" s="28"/>
      <c r="B1535" s="26"/>
      <c r="C1535" s="27"/>
      <c r="D1535" s="27"/>
      <c r="E1535" s="26"/>
      <c r="F1535" s="26"/>
      <c r="G1535" s="26"/>
    </row>
    <row r="1536">
      <c r="A1536" s="28"/>
      <c r="B1536" s="26"/>
      <c r="C1536" s="27"/>
      <c r="D1536" s="27"/>
      <c r="E1536" s="26"/>
      <c r="F1536" s="26"/>
      <c r="G1536" s="26"/>
    </row>
    <row r="1537">
      <c r="A1537" s="28"/>
      <c r="B1537" s="26"/>
      <c r="C1537" s="27"/>
      <c r="D1537" s="27"/>
      <c r="E1537" s="26"/>
      <c r="F1537" s="26"/>
      <c r="G1537" s="26"/>
    </row>
    <row r="1538">
      <c r="A1538" s="28"/>
      <c r="B1538" s="26"/>
      <c r="C1538" s="27"/>
      <c r="D1538" s="27"/>
      <c r="E1538" s="26"/>
      <c r="F1538" s="26"/>
      <c r="G1538" s="26"/>
    </row>
    <row r="1539">
      <c r="A1539" s="28"/>
      <c r="B1539" s="26"/>
      <c r="C1539" s="27"/>
      <c r="D1539" s="27"/>
      <c r="E1539" s="26"/>
      <c r="F1539" s="26"/>
      <c r="G1539" s="26"/>
    </row>
    <row r="1540">
      <c r="A1540" s="28"/>
      <c r="B1540" s="26"/>
      <c r="C1540" s="27"/>
      <c r="D1540" s="27"/>
      <c r="E1540" s="26"/>
      <c r="F1540" s="26"/>
      <c r="G1540" s="26"/>
    </row>
    <row r="1541">
      <c r="A1541" s="28"/>
      <c r="B1541" s="26"/>
      <c r="C1541" s="27"/>
      <c r="D1541" s="27"/>
      <c r="E1541" s="26"/>
      <c r="F1541" s="26"/>
      <c r="G1541" s="26"/>
    </row>
    <row r="1542">
      <c r="A1542" s="28"/>
      <c r="B1542" s="26"/>
      <c r="C1542" s="27"/>
      <c r="D1542" s="27"/>
      <c r="E1542" s="26"/>
      <c r="F1542" s="26"/>
      <c r="G1542" s="26"/>
    </row>
    <row r="1543">
      <c r="A1543" s="28"/>
      <c r="B1543" s="26"/>
      <c r="C1543" s="27"/>
      <c r="D1543" s="27"/>
      <c r="E1543" s="26"/>
      <c r="F1543" s="26"/>
      <c r="G1543" s="26"/>
    </row>
    <row r="1544">
      <c r="A1544" s="28"/>
      <c r="B1544" s="26"/>
      <c r="C1544" s="27"/>
      <c r="D1544" s="27"/>
      <c r="E1544" s="26"/>
      <c r="F1544" s="26"/>
      <c r="G1544" s="26"/>
    </row>
    <row r="1545">
      <c r="A1545" s="28"/>
      <c r="B1545" s="26"/>
      <c r="C1545" s="27"/>
      <c r="D1545" s="27"/>
      <c r="E1545" s="26"/>
      <c r="F1545" s="26"/>
      <c r="G1545" s="26"/>
    </row>
    <row r="1546">
      <c r="A1546" s="28"/>
      <c r="B1546" s="26"/>
      <c r="C1546" s="27"/>
      <c r="D1546" s="27"/>
      <c r="E1546" s="26"/>
      <c r="F1546" s="26"/>
      <c r="G1546" s="26"/>
    </row>
    <row r="1547">
      <c r="A1547" s="28"/>
      <c r="B1547" s="26"/>
      <c r="C1547" s="27"/>
      <c r="D1547" s="27"/>
      <c r="E1547" s="26"/>
      <c r="F1547" s="26"/>
      <c r="G1547" s="26"/>
    </row>
    <row r="1548">
      <c r="A1548" s="28"/>
      <c r="B1548" s="26"/>
      <c r="C1548" s="27"/>
      <c r="D1548" s="27"/>
      <c r="E1548" s="26"/>
      <c r="F1548" s="26"/>
      <c r="G1548" s="26"/>
    </row>
    <row r="1549">
      <c r="A1549" s="28"/>
      <c r="B1549" s="26"/>
      <c r="C1549" s="27"/>
      <c r="D1549" s="27"/>
      <c r="E1549" s="26"/>
      <c r="F1549" s="26"/>
      <c r="G1549" s="26"/>
    </row>
    <row r="1550">
      <c r="A1550" s="28"/>
      <c r="B1550" s="26"/>
      <c r="C1550" s="27"/>
      <c r="D1550" s="27"/>
      <c r="E1550" s="26"/>
      <c r="F1550" s="26"/>
      <c r="G1550" s="26"/>
    </row>
    <row r="1551">
      <c r="A1551" s="28"/>
      <c r="B1551" s="26"/>
      <c r="C1551" s="27"/>
      <c r="D1551" s="27"/>
      <c r="E1551" s="26"/>
      <c r="F1551" s="26"/>
      <c r="G1551" s="26"/>
    </row>
    <row r="1552">
      <c r="A1552" s="28"/>
      <c r="B1552" s="26"/>
      <c r="C1552" s="27"/>
      <c r="D1552" s="27"/>
      <c r="E1552" s="26"/>
      <c r="F1552" s="26"/>
      <c r="G1552" s="26"/>
    </row>
    <row r="1553">
      <c r="A1553" s="28"/>
      <c r="B1553" s="26"/>
      <c r="C1553" s="27"/>
      <c r="D1553" s="27"/>
      <c r="E1553" s="26"/>
      <c r="F1553" s="26"/>
      <c r="G1553" s="26"/>
    </row>
    <row r="1554">
      <c r="A1554" s="28"/>
      <c r="B1554" s="26"/>
      <c r="C1554" s="27"/>
      <c r="D1554" s="27"/>
      <c r="E1554" s="26"/>
      <c r="F1554" s="26"/>
      <c r="G1554" s="26"/>
    </row>
    <row r="1555">
      <c r="A1555" s="28"/>
      <c r="B1555" s="26"/>
      <c r="C1555" s="27"/>
      <c r="D1555" s="27"/>
      <c r="E1555" s="26"/>
      <c r="F1555" s="26"/>
      <c r="G1555" s="26"/>
    </row>
    <row r="1556">
      <c r="A1556" s="28"/>
      <c r="B1556" s="26"/>
      <c r="C1556" s="27"/>
      <c r="D1556" s="27"/>
      <c r="E1556" s="26"/>
      <c r="F1556" s="26"/>
      <c r="G1556" s="26"/>
    </row>
    <row r="1557">
      <c r="A1557" s="28"/>
      <c r="B1557" s="26"/>
      <c r="C1557" s="27"/>
      <c r="D1557" s="27"/>
      <c r="E1557" s="26"/>
      <c r="F1557" s="26"/>
      <c r="G1557" s="26"/>
    </row>
    <row r="1558">
      <c r="A1558" s="28"/>
      <c r="B1558" s="26"/>
      <c r="C1558" s="27"/>
      <c r="D1558" s="27"/>
      <c r="E1558" s="26"/>
      <c r="F1558" s="26"/>
      <c r="G1558" s="26"/>
    </row>
    <row r="1559">
      <c r="A1559" s="28"/>
      <c r="B1559" s="26"/>
      <c r="C1559" s="27"/>
      <c r="D1559" s="27"/>
      <c r="E1559" s="26"/>
      <c r="F1559" s="26"/>
      <c r="G1559" s="26"/>
    </row>
    <row r="1560">
      <c r="A1560" s="28"/>
      <c r="B1560" s="26"/>
      <c r="C1560" s="27"/>
      <c r="D1560" s="27"/>
      <c r="E1560" s="26"/>
      <c r="F1560" s="26"/>
      <c r="G1560" s="26"/>
    </row>
    <row r="1561">
      <c r="A1561" s="28"/>
      <c r="B1561" s="26"/>
      <c r="C1561" s="27"/>
      <c r="D1561" s="27"/>
      <c r="E1561" s="26"/>
      <c r="F1561" s="26"/>
      <c r="G1561" s="26"/>
    </row>
    <row r="1562">
      <c r="A1562" s="28"/>
      <c r="B1562" s="26"/>
      <c r="C1562" s="27"/>
      <c r="D1562" s="27"/>
      <c r="E1562" s="26"/>
      <c r="F1562" s="26"/>
      <c r="G1562" s="26"/>
    </row>
    <row r="1563">
      <c r="A1563" s="28"/>
      <c r="B1563" s="26"/>
      <c r="C1563" s="27"/>
      <c r="D1563" s="27"/>
      <c r="E1563" s="26"/>
      <c r="F1563" s="26"/>
      <c r="G1563" s="26"/>
    </row>
    <row r="1564">
      <c r="A1564" s="28"/>
      <c r="B1564" s="26"/>
      <c r="C1564" s="27"/>
      <c r="D1564" s="27"/>
      <c r="E1564" s="26"/>
      <c r="F1564" s="26"/>
      <c r="G1564" s="26"/>
    </row>
    <row r="1565">
      <c r="A1565" s="28"/>
      <c r="B1565" s="26"/>
      <c r="C1565" s="27"/>
      <c r="D1565" s="27"/>
      <c r="E1565" s="26"/>
      <c r="F1565" s="26"/>
      <c r="G1565" s="26"/>
    </row>
    <row r="1566">
      <c r="A1566" s="28"/>
      <c r="B1566" s="26"/>
      <c r="C1566" s="27"/>
      <c r="D1566" s="27"/>
      <c r="E1566" s="26"/>
      <c r="F1566" s="26"/>
      <c r="G1566" s="26"/>
    </row>
    <row r="1567">
      <c r="A1567" s="28"/>
      <c r="B1567" s="26"/>
      <c r="C1567" s="27"/>
      <c r="D1567" s="27"/>
      <c r="E1567" s="26"/>
      <c r="F1567" s="26"/>
      <c r="G1567" s="26"/>
    </row>
    <row r="1568">
      <c r="A1568" s="28"/>
      <c r="B1568" s="26"/>
      <c r="C1568" s="27"/>
      <c r="D1568" s="27"/>
      <c r="E1568" s="26"/>
      <c r="F1568" s="26"/>
      <c r="G1568" s="26"/>
    </row>
    <row r="1569">
      <c r="A1569" s="28"/>
      <c r="B1569" s="26"/>
      <c r="C1569" s="27"/>
      <c r="D1569" s="27"/>
      <c r="E1569" s="26"/>
      <c r="F1569" s="26"/>
      <c r="G1569" s="26"/>
    </row>
    <row r="1570">
      <c r="A1570" s="28"/>
      <c r="B1570" s="26"/>
      <c r="C1570" s="27"/>
      <c r="D1570" s="27"/>
      <c r="E1570" s="26"/>
      <c r="F1570" s="26"/>
      <c r="G1570" s="26"/>
    </row>
    <row r="1571">
      <c r="A1571" s="28"/>
      <c r="B1571" s="26"/>
      <c r="C1571" s="27"/>
      <c r="D1571" s="27"/>
      <c r="E1571" s="26"/>
      <c r="F1571" s="26"/>
      <c r="G1571" s="26"/>
    </row>
    <row r="1572">
      <c r="A1572" s="28"/>
      <c r="B1572" s="26"/>
      <c r="C1572" s="27"/>
      <c r="D1572" s="27"/>
      <c r="E1572" s="26"/>
      <c r="F1572" s="26"/>
      <c r="G1572" s="26"/>
    </row>
    <row r="1573">
      <c r="A1573" s="28"/>
      <c r="B1573" s="26"/>
      <c r="C1573" s="27"/>
      <c r="D1573" s="27"/>
      <c r="E1573" s="26"/>
      <c r="F1573" s="26"/>
      <c r="G1573" s="26"/>
    </row>
    <row r="1574">
      <c r="A1574" s="28"/>
      <c r="B1574" s="26"/>
      <c r="C1574" s="27"/>
      <c r="D1574" s="27"/>
      <c r="E1574" s="26"/>
      <c r="F1574" s="26"/>
      <c r="G1574" s="26"/>
    </row>
    <row r="1575">
      <c r="A1575" s="28"/>
      <c r="B1575" s="26"/>
      <c r="C1575" s="27"/>
      <c r="D1575" s="27"/>
      <c r="E1575" s="26"/>
      <c r="F1575" s="26"/>
      <c r="G1575" s="26"/>
    </row>
    <row r="1576">
      <c r="A1576" s="28"/>
      <c r="B1576" s="26"/>
      <c r="C1576" s="27"/>
      <c r="D1576" s="27"/>
      <c r="E1576" s="26"/>
      <c r="F1576" s="26"/>
      <c r="G1576" s="26"/>
    </row>
    <row r="1577">
      <c r="A1577" s="28"/>
      <c r="B1577" s="26"/>
      <c r="C1577" s="27"/>
      <c r="D1577" s="27"/>
      <c r="E1577" s="26"/>
      <c r="F1577" s="26"/>
      <c r="G1577" s="26"/>
    </row>
    <row r="1578">
      <c r="A1578" s="28"/>
      <c r="B1578" s="26"/>
      <c r="C1578" s="27"/>
      <c r="D1578" s="27"/>
      <c r="E1578" s="26"/>
      <c r="F1578" s="26"/>
      <c r="G1578" s="26"/>
    </row>
    <row r="1579">
      <c r="A1579" s="28"/>
      <c r="B1579" s="26"/>
      <c r="C1579" s="27"/>
      <c r="D1579" s="27"/>
      <c r="E1579" s="26"/>
      <c r="F1579" s="26"/>
      <c r="G1579" s="26"/>
    </row>
    <row r="1580">
      <c r="A1580" s="28"/>
      <c r="B1580" s="26"/>
      <c r="C1580" s="27"/>
      <c r="D1580" s="27"/>
      <c r="E1580" s="26"/>
      <c r="F1580" s="26"/>
      <c r="G1580" s="26"/>
    </row>
    <row r="1581">
      <c r="A1581" s="28"/>
      <c r="B1581" s="26"/>
      <c r="C1581" s="27"/>
      <c r="D1581" s="27"/>
      <c r="E1581" s="26"/>
      <c r="F1581" s="26"/>
      <c r="G1581" s="26"/>
    </row>
    <row r="1582">
      <c r="A1582" s="28"/>
      <c r="B1582" s="26"/>
      <c r="C1582" s="27"/>
      <c r="D1582" s="27"/>
      <c r="E1582" s="26"/>
      <c r="F1582" s="26"/>
      <c r="G1582" s="26"/>
    </row>
    <row r="1583">
      <c r="A1583" s="28"/>
      <c r="B1583" s="26"/>
      <c r="C1583" s="27"/>
      <c r="D1583" s="27"/>
      <c r="E1583" s="26"/>
      <c r="F1583" s="26"/>
      <c r="G1583" s="26"/>
    </row>
    <row r="1584">
      <c r="A1584" s="28"/>
      <c r="B1584" s="26"/>
      <c r="C1584" s="27"/>
      <c r="D1584" s="27"/>
      <c r="E1584" s="26"/>
      <c r="F1584" s="26"/>
      <c r="G1584" s="26"/>
    </row>
    <row r="1585">
      <c r="A1585" s="28"/>
      <c r="B1585" s="26"/>
      <c r="C1585" s="27"/>
      <c r="D1585" s="27"/>
      <c r="E1585" s="26"/>
      <c r="F1585" s="26"/>
      <c r="G1585" s="26"/>
    </row>
    <row r="1586">
      <c r="A1586" s="28"/>
      <c r="B1586" s="26"/>
      <c r="C1586" s="27"/>
      <c r="D1586" s="27"/>
      <c r="E1586" s="26"/>
      <c r="F1586" s="26"/>
      <c r="G1586" s="26"/>
    </row>
    <row r="1587">
      <c r="A1587" s="28"/>
      <c r="B1587" s="26"/>
      <c r="C1587" s="27"/>
      <c r="D1587" s="27"/>
      <c r="E1587" s="26"/>
      <c r="F1587" s="26"/>
      <c r="G1587" s="26"/>
    </row>
    <row r="1588">
      <c r="A1588" s="28"/>
      <c r="B1588" s="26"/>
      <c r="C1588" s="27"/>
      <c r="D1588" s="27"/>
      <c r="E1588" s="26"/>
      <c r="F1588" s="26"/>
      <c r="G1588" s="26"/>
    </row>
    <row r="1589">
      <c r="A1589" s="28"/>
      <c r="B1589" s="26"/>
      <c r="C1589" s="27"/>
      <c r="D1589" s="27"/>
      <c r="E1589" s="26"/>
      <c r="F1589" s="26"/>
      <c r="G1589" s="26"/>
    </row>
    <row r="1590">
      <c r="A1590" s="28"/>
      <c r="B1590" s="26"/>
      <c r="C1590" s="27"/>
      <c r="D1590" s="27"/>
      <c r="E1590" s="26"/>
      <c r="F1590" s="26"/>
      <c r="G1590" s="26"/>
    </row>
    <row r="1591">
      <c r="A1591" s="28"/>
      <c r="B1591" s="26"/>
      <c r="C1591" s="27"/>
      <c r="D1591" s="27"/>
      <c r="E1591" s="26"/>
      <c r="F1591" s="26"/>
      <c r="G1591" s="26"/>
    </row>
    <row r="1592">
      <c r="A1592" s="28"/>
      <c r="B1592" s="26"/>
      <c r="C1592" s="27"/>
      <c r="D1592" s="27"/>
      <c r="E1592" s="26"/>
      <c r="F1592" s="26"/>
      <c r="G1592" s="26"/>
    </row>
    <row r="1593">
      <c r="A1593" s="28"/>
      <c r="B1593" s="26"/>
      <c r="C1593" s="27"/>
      <c r="D1593" s="27"/>
      <c r="E1593" s="26"/>
      <c r="F1593" s="26"/>
      <c r="G1593" s="26"/>
    </row>
    <row r="1594">
      <c r="A1594" s="28"/>
      <c r="B1594" s="26"/>
      <c r="C1594" s="27"/>
      <c r="D1594" s="27"/>
      <c r="E1594" s="26"/>
      <c r="F1594" s="26"/>
      <c r="G1594" s="26"/>
    </row>
    <row r="1595">
      <c r="A1595" s="28"/>
      <c r="B1595" s="26"/>
      <c r="C1595" s="27"/>
      <c r="D1595" s="27"/>
      <c r="E1595" s="26"/>
      <c r="F1595" s="26"/>
      <c r="G1595" s="26"/>
    </row>
    <row r="1596">
      <c r="A1596" s="28"/>
      <c r="B1596" s="26"/>
      <c r="C1596" s="27"/>
      <c r="D1596" s="27"/>
      <c r="E1596" s="26"/>
      <c r="F1596" s="26"/>
      <c r="G1596" s="26"/>
    </row>
    <row r="1597">
      <c r="A1597" s="28"/>
      <c r="B1597" s="26"/>
      <c r="C1597" s="27"/>
      <c r="D1597" s="27"/>
      <c r="E1597" s="26"/>
      <c r="F1597" s="26"/>
      <c r="G1597" s="26"/>
    </row>
    <row r="1598">
      <c r="A1598" s="28"/>
      <c r="B1598" s="26"/>
      <c r="C1598" s="27"/>
      <c r="D1598" s="27"/>
      <c r="E1598" s="26"/>
      <c r="F1598" s="26"/>
      <c r="G1598" s="26"/>
    </row>
    <row r="1599">
      <c r="A1599" s="28"/>
      <c r="B1599" s="26"/>
      <c r="C1599" s="27"/>
      <c r="D1599" s="27"/>
      <c r="E1599" s="26"/>
      <c r="F1599" s="26"/>
      <c r="G1599" s="26"/>
    </row>
    <row r="1600">
      <c r="A1600" s="28"/>
      <c r="B1600" s="26"/>
      <c r="C1600" s="27"/>
      <c r="D1600" s="27"/>
      <c r="E1600" s="26"/>
      <c r="F1600" s="26"/>
      <c r="G1600" s="26"/>
    </row>
    <row r="1601">
      <c r="A1601" s="28"/>
      <c r="B1601" s="26"/>
      <c r="C1601" s="27"/>
      <c r="D1601" s="27"/>
      <c r="E1601" s="26"/>
      <c r="F1601" s="26"/>
      <c r="G1601" s="26"/>
    </row>
    <row r="1602">
      <c r="A1602" s="28"/>
      <c r="B1602" s="26"/>
      <c r="C1602" s="27"/>
      <c r="D1602" s="27"/>
      <c r="E1602" s="26"/>
      <c r="F1602" s="26"/>
      <c r="G1602" s="26"/>
    </row>
    <row r="1603">
      <c r="A1603" s="28"/>
      <c r="B1603" s="26"/>
      <c r="C1603" s="27"/>
      <c r="D1603" s="27"/>
      <c r="E1603" s="26"/>
      <c r="F1603" s="26"/>
      <c r="G1603" s="26"/>
    </row>
    <row r="1604">
      <c r="A1604" s="28"/>
      <c r="B1604" s="26"/>
      <c r="C1604" s="27"/>
      <c r="D1604" s="27"/>
      <c r="E1604" s="26"/>
      <c r="F1604" s="26"/>
      <c r="G1604" s="26"/>
    </row>
    <row r="1605">
      <c r="A1605" s="28"/>
      <c r="B1605" s="26"/>
      <c r="C1605" s="27"/>
      <c r="D1605" s="27"/>
      <c r="E1605" s="26"/>
      <c r="F1605" s="26"/>
      <c r="G1605" s="26"/>
    </row>
    <row r="1606">
      <c r="A1606" s="28"/>
      <c r="B1606" s="26"/>
      <c r="C1606" s="27"/>
      <c r="D1606" s="27"/>
      <c r="E1606" s="26"/>
      <c r="F1606" s="26"/>
      <c r="G1606" s="26"/>
    </row>
    <row r="1607">
      <c r="A1607" s="28"/>
      <c r="B1607" s="26"/>
      <c r="C1607" s="27"/>
      <c r="D1607" s="27"/>
      <c r="E1607" s="26"/>
      <c r="F1607" s="26"/>
      <c r="G1607" s="26"/>
    </row>
    <row r="1608">
      <c r="A1608" s="28"/>
      <c r="B1608" s="26"/>
      <c r="C1608" s="27"/>
      <c r="D1608" s="27"/>
      <c r="E1608" s="26"/>
      <c r="F1608" s="26"/>
      <c r="G1608" s="26"/>
    </row>
    <row r="1609">
      <c r="A1609" s="28"/>
      <c r="B1609" s="26"/>
      <c r="C1609" s="27"/>
      <c r="D1609" s="27"/>
      <c r="E1609" s="26"/>
      <c r="F1609" s="26"/>
      <c r="G1609" s="26"/>
    </row>
    <row r="1610">
      <c r="A1610" s="28"/>
      <c r="B1610" s="26"/>
      <c r="C1610" s="27"/>
      <c r="D1610" s="27"/>
      <c r="E1610" s="26"/>
      <c r="F1610" s="26"/>
      <c r="G1610" s="26"/>
    </row>
    <row r="1611">
      <c r="A1611" s="28"/>
      <c r="B1611" s="26"/>
      <c r="C1611" s="27"/>
      <c r="D1611" s="27"/>
      <c r="E1611" s="26"/>
      <c r="F1611" s="26"/>
      <c r="G1611" s="26"/>
    </row>
    <row r="1612">
      <c r="A1612" s="28"/>
      <c r="B1612" s="26"/>
      <c r="C1612" s="27"/>
      <c r="D1612" s="27"/>
      <c r="E1612" s="26"/>
      <c r="F1612" s="26"/>
      <c r="G1612" s="26"/>
    </row>
    <row r="1613">
      <c r="A1613" s="28"/>
      <c r="B1613" s="26"/>
      <c r="C1613" s="27"/>
      <c r="D1613" s="27"/>
      <c r="E1613" s="26"/>
      <c r="F1613" s="26"/>
      <c r="G1613" s="26"/>
    </row>
    <row r="1614">
      <c r="A1614" s="28"/>
      <c r="B1614" s="26"/>
      <c r="C1614" s="27"/>
      <c r="D1614" s="27"/>
      <c r="E1614" s="26"/>
      <c r="F1614" s="26"/>
      <c r="G1614" s="26"/>
    </row>
    <row r="1615">
      <c r="A1615" s="28"/>
      <c r="B1615" s="26"/>
      <c r="C1615" s="27"/>
      <c r="D1615" s="27"/>
      <c r="E1615" s="26"/>
      <c r="F1615" s="26"/>
      <c r="G1615" s="26"/>
    </row>
    <row r="1616">
      <c r="A1616" s="28"/>
      <c r="B1616" s="26"/>
      <c r="C1616" s="27"/>
      <c r="D1616" s="27"/>
      <c r="E1616" s="26"/>
      <c r="F1616" s="26"/>
      <c r="G1616" s="26"/>
    </row>
    <row r="1617">
      <c r="A1617" s="28"/>
      <c r="B1617" s="26"/>
      <c r="C1617" s="27"/>
      <c r="D1617" s="27"/>
      <c r="E1617" s="26"/>
      <c r="F1617" s="26"/>
      <c r="G1617" s="26"/>
    </row>
    <row r="1618">
      <c r="A1618" s="28"/>
      <c r="B1618" s="26"/>
      <c r="C1618" s="27"/>
      <c r="D1618" s="27"/>
      <c r="E1618" s="26"/>
      <c r="F1618" s="26"/>
      <c r="G1618" s="26"/>
    </row>
    <row r="1619">
      <c r="A1619" s="28"/>
      <c r="B1619" s="26"/>
      <c r="C1619" s="27"/>
      <c r="D1619" s="27"/>
      <c r="E1619" s="26"/>
      <c r="F1619" s="26"/>
      <c r="G1619" s="26"/>
    </row>
    <row r="1620">
      <c r="A1620" s="28"/>
      <c r="B1620" s="26"/>
      <c r="C1620" s="27"/>
      <c r="D1620" s="27"/>
      <c r="E1620" s="26"/>
      <c r="F1620" s="26"/>
      <c r="G1620" s="26"/>
    </row>
    <row r="1621">
      <c r="A1621" s="28"/>
      <c r="B1621" s="26"/>
      <c r="C1621" s="27"/>
      <c r="D1621" s="27"/>
      <c r="E1621" s="26"/>
      <c r="F1621" s="26"/>
      <c r="G1621" s="26"/>
    </row>
    <row r="1622">
      <c r="A1622" s="28"/>
      <c r="B1622" s="26"/>
      <c r="C1622" s="27"/>
      <c r="D1622" s="27"/>
      <c r="E1622" s="26"/>
      <c r="F1622" s="26"/>
      <c r="G1622" s="26"/>
    </row>
    <row r="1623">
      <c r="A1623" s="28"/>
      <c r="B1623" s="26"/>
      <c r="C1623" s="27"/>
      <c r="D1623" s="27"/>
      <c r="E1623" s="26"/>
      <c r="F1623" s="26"/>
      <c r="G1623" s="26"/>
    </row>
    <row r="1624">
      <c r="A1624" s="28"/>
      <c r="B1624" s="26"/>
      <c r="C1624" s="27"/>
      <c r="D1624" s="27"/>
      <c r="E1624" s="26"/>
      <c r="F1624" s="26"/>
      <c r="G1624" s="26"/>
    </row>
    <row r="1625">
      <c r="A1625" s="28"/>
      <c r="B1625" s="26"/>
      <c r="C1625" s="27"/>
      <c r="D1625" s="27"/>
      <c r="E1625" s="26"/>
      <c r="F1625" s="26"/>
      <c r="G1625" s="26"/>
    </row>
    <row r="1626">
      <c r="A1626" s="28"/>
      <c r="B1626" s="26"/>
      <c r="C1626" s="27"/>
      <c r="D1626" s="27"/>
      <c r="E1626" s="26"/>
      <c r="F1626" s="26"/>
      <c r="G1626" s="26"/>
    </row>
    <row r="1627">
      <c r="A1627" s="28"/>
      <c r="B1627" s="26"/>
      <c r="C1627" s="27"/>
      <c r="D1627" s="27"/>
      <c r="E1627" s="26"/>
      <c r="F1627" s="26"/>
      <c r="G1627" s="26"/>
    </row>
    <row r="1628">
      <c r="A1628" s="28"/>
      <c r="B1628" s="26"/>
      <c r="C1628" s="27"/>
      <c r="D1628" s="27"/>
      <c r="E1628" s="26"/>
      <c r="F1628" s="26"/>
      <c r="G1628" s="26"/>
    </row>
    <row r="1629">
      <c r="A1629" s="28"/>
      <c r="B1629" s="26"/>
      <c r="C1629" s="27"/>
      <c r="D1629" s="27"/>
      <c r="E1629" s="26"/>
      <c r="F1629" s="26"/>
      <c r="G1629" s="26"/>
    </row>
    <row r="1630">
      <c r="A1630" s="28"/>
      <c r="B1630" s="26"/>
      <c r="C1630" s="27"/>
      <c r="D1630" s="27"/>
      <c r="E1630" s="26"/>
      <c r="F1630" s="26"/>
      <c r="G1630" s="26"/>
    </row>
    <row r="1631">
      <c r="A1631" s="28"/>
      <c r="B1631" s="26"/>
      <c r="C1631" s="27"/>
      <c r="D1631" s="27"/>
      <c r="E1631" s="26"/>
      <c r="F1631" s="26"/>
      <c r="G1631" s="26"/>
    </row>
    <row r="1632">
      <c r="A1632" s="28"/>
      <c r="B1632" s="26"/>
      <c r="C1632" s="27"/>
      <c r="D1632" s="27"/>
      <c r="E1632" s="26"/>
      <c r="F1632" s="26"/>
      <c r="G1632" s="26"/>
    </row>
    <row r="1633">
      <c r="A1633" s="28"/>
      <c r="B1633" s="26"/>
      <c r="C1633" s="27"/>
      <c r="D1633" s="27"/>
      <c r="E1633" s="26"/>
      <c r="F1633" s="26"/>
      <c r="G1633" s="26"/>
    </row>
    <row r="1634">
      <c r="A1634" s="28"/>
      <c r="B1634" s="26"/>
      <c r="C1634" s="27"/>
      <c r="D1634" s="27"/>
      <c r="E1634" s="26"/>
      <c r="F1634" s="26"/>
      <c r="G1634" s="26"/>
    </row>
    <row r="1635">
      <c r="A1635" s="28"/>
      <c r="B1635" s="26"/>
      <c r="C1635" s="27"/>
      <c r="D1635" s="27"/>
      <c r="E1635" s="26"/>
      <c r="F1635" s="26"/>
      <c r="G1635" s="26"/>
    </row>
    <row r="1636">
      <c r="A1636" s="28"/>
      <c r="B1636" s="26"/>
      <c r="C1636" s="27"/>
      <c r="D1636" s="27"/>
      <c r="E1636" s="26"/>
      <c r="F1636" s="26"/>
      <c r="G1636" s="26"/>
    </row>
    <row r="1637">
      <c r="A1637" s="28"/>
      <c r="B1637" s="26"/>
      <c r="C1637" s="27"/>
      <c r="D1637" s="27"/>
      <c r="E1637" s="26"/>
      <c r="F1637" s="26"/>
      <c r="G1637" s="26"/>
    </row>
    <row r="1638">
      <c r="A1638" s="28"/>
      <c r="B1638" s="26"/>
      <c r="C1638" s="27"/>
      <c r="D1638" s="27"/>
      <c r="E1638" s="26"/>
      <c r="F1638" s="26"/>
      <c r="G1638" s="26"/>
    </row>
    <row r="1639">
      <c r="A1639" s="28"/>
      <c r="B1639" s="26"/>
      <c r="C1639" s="27"/>
      <c r="D1639" s="27"/>
      <c r="E1639" s="26"/>
      <c r="F1639" s="26"/>
      <c r="G1639" s="26"/>
    </row>
    <row r="1640">
      <c r="A1640" s="28"/>
      <c r="B1640" s="26"/>
      <c r="C1640" s="27"/>
      <c r="D1640" s="27"/>
      <c r="E1640" s="26"/>
      <c r="F1640" s="26"/>
      <c r="G1640" s="26"/>
    </row>
    <row r="1641">
      <c r="A1641" s="28"/>
      <c r="B1641" s="26"/>
      <c r="C1641" s="27"/>
      <c r="D1641" s="27"/>
      <c r="E1641" s="26"/>
      <c r="F1641" s="26"/>
      <c r="G1641" s="26"/>
    </row>
    <row r="1642">
      <c r="A1642" s="28"/>
      <c r="B1642" s="26"/>
      <c r="C1642" s="27"/>
      <c r="D1642" s="27"/>
      <c r="E1642" s="26"/>
      <c r="F1642" s="26"/>
      <c r="G1642" s="26"/>
    </row>
    <row r="1643">
      <c r="A1643" s="28"/>
      <c r="B1643" s="26"/>
      <c r="C1643" s="27"/>
      <c r="D1643" s="27"/>
      <c r="E1643" s="26"/>
      <c r="F1643" s="26"/>
      <c r="G1643" s="26"/>
    </row>
    <row r="1644">
      <c r="A1644" s="28"/>
      <c r="B1644" s="26"/>
      <c r="C1644" s="27"/>
      <c r="D1644" s="27"/>
      <c r="E1644" s="26"/>
      <c r="F1644" s="26"/>
      <c r="G1644" s="26"/>
    </row>
    <row r="1645">
      <c r="A1645" s="28"/>
      <c r="B1645" s="26"/>
      <c r="C1645" s="27"/>
      <c r="D1645" s="27"/>
      <c r="E1645" s="26"/>
      <c r="F1645" s="26"/>
      <c r="G1645" s="26"/>
    </row>
    <row r="1646">
      <c r="A1646" s="28"/>
      <c r="B1646" s="26"/>
      <c r="C1646" s="27"/>
      <c r="D1646" s="27"/>
      <c r="E1646" s="26"/>
      <c r="F1646" s="26"/>
      <c r="G1646" s="26"/>
    </row>
    <row r="1647">
      <c r="A1647" s="28"/>
      <c r="B1647" s="26"/>
      <c r="C1647" s="27"/>
      <c r="D1647" s="27"/>
      <c r="E1647" s="26"/>
      <c r="F1647" s="26"/>
      <c r="G1647" s="26"/>
    </row>
    <row r="1648">
      <c r="A1648" s="28"/>
      <c r="B1648" s="26"/>
      <c r="C1648" s="27"/>
      <c r="D1648" s="27"/>
      <c r="E1648" s="26"/>
      <c r="F1648" s="26"/>
      <c r="G1648" s="26"/>
    </row>
    <row r="1649">
      <c r="A1649" s="28"/>
      <c r="B1649" s="26"/>
      <c r="C1649" s="27"/>
      <c r="D1649" s="27"/>
      <c r="E1649" s="26"/>
      <c r="F1649" s="26"/>
      <c r="G1649" s="26"/>
    </row>
    <row r="1650">
      <c r="A1650" s="28"/>
      <c r="B1650" s="26"/>
      <c r="C1650" s="27"/>
      <c r="D1650" s="27"/>
      <c r="E1650" s="26"/>
      <c r="F1650" s="26"/>
      <c r="G1650" s="26"/>
    </row>
    <row r="1651">
      <c r="A1651" s="28"/>
      <c r="B1651" s="26"/>
      <c r="C1651" s="27"/>
      <c r="D1651" s="27"/>
      <c r="E1651" s="26"/>
      <c r="F1651" s="26"/>
      <c r="G1651" s="26"/>
    </row>
    <row r="1652">
      <c r="A1652" s="28"/>
      <c r="B1652" s="26"/>
      <c r="C1652" s="27"/>
      <c r="D1652" s="27"/>
      <c r="E1652" s="26"/>
      <c r="F1652" s="26"/>
      <c r="G1652" s="26"/>
    </row>
    <row r="1653">
      <c r="A1653" s="28"/>
      <c r="B1653" s="26"/>
      <c r="C1653" s="27"/>
      <c r="D1653" s="27"/>
      <c r="E1653" s="26"/>
      <c r="F1653" s="26"/>
      <c r="G1653" s="26"/>
    </row>
    <row r="1654">
      <c r="A1654" s="28"/>
      <c r="B1654" s="26"/>
      <c r="C1654" s="27"/>
      <c r="D1654" s="27"/>
      <c r="E1654" s="26"/>
      <c r="F1654" s="26"/>
      <c r="G1654" s="26"/>
    </row>
    <row r="1655">
      <c r="A1655" s="28"/>
      <c r="B1655" s="26"/>
      <c r="C1655" s="27"/>
      <c r="D1655" s="27"/>
      <c r="E1655" s="26"/>
      <c r="F1655" s="26"/>
      <c r="G1655" s="26"/>
    </row>
    <row r="1656">
      <c r="A1656" s="28"/>
      <c r="B1656" s="26"/>
      <c r="C1656" s="27"/>
      <c r="D1656" s="27"/>
      <c r="E1656" s="26"/>
      <c r="F1656" s="26"/>
      <c r="G1656" s="26"/>
    </row>
    <row r="1657">
      <c r="A1657" s="28"/>
      <c r="B1657" s="26"/>
      <c r="C1657" s="27"/>
      <c r="D1657" s="27"/>
      <c r="E1657" s="26"/>
      <c r="F1657" s="26"/>
      <c r="G1657" s="26"/>
    </row>
    <row r="1658">
      <c r="A1658" s="28"/>
      <c r="B1658" s="26"/>
      <c r="C1658" s="27"/>
      <c r="D1658" s="27"/>
      <c r="E1658" s="26"/>
      <c r="F1658" s="26"/>
      <c r="G1658" s="26"/>
    </row>
    <row r="1659">
      <c r="A1659" s="28"/>
      <c r="B1659" s="26"/>
      <c r="C1659" s="27"/>
      <c r="D1659" s="27"/>
      <c r="E1659" s="26"/>
      <c r="F1659" s="26"/>
      <c r="G1659" s="26"/>
    </row>
    <row r="1660">
      <c r="A1660" s="28"/>
      <c r="B1660" s="26"/>
      <c r="C1660" s="27"/>
      <c r="D1660" s="27"/>
      <c r="E1660" s="26"/>
      <c r="F1660" s="26"/>
      <c r="G1660" s="26"/>
    </row>
    <row r="1661">
      <c r="A1661" s="28"/>
      <c r="B1661" s="26"/>
      <c r="C1661" s="27"/>
      <c r="D1661" s="27"/>
      <c r="E1661" s="26"/>
      <c r="F1661" s="26"/>
      <c r="G1661" s="26"/>
    </row>
    <row r="1662">
      <c r="A1662" s="28"/>
      <c r="B1662" s="26"/>
      <c r="C1662" s="27"/>
      <c r="D1662" s="27"/>
      <c r="E1662" s="26"/>
      <c r="F1662" s="26"/>
      <c r="G1662" s="26"/>
    </row>
    <row r="1663">
      <c r="A1663" s="28"/>
      <c r="B1663" s="26"/>
      <c r="C1663" s="27"/>
      <c r="D1663" s="27"/>
      <c r="E1663" s="26"/>
      <c r="F1663" s="26"/>
      <c r="G1663" s="26"/>
    </row>
    <row r="1664">
      <c r="A1664" s="28"/>
      <c r="B1664" s="26"/>
      <c r="C1664" s="27"/>
      <c r="D1664" s="27"/>
      <c r="E1664" s="26"/>
      <c r="F1664" s="26"/>
      <c r="G1664" s="26"/>
    </row>
    <row r="1665">
      <c r="A1665" s="28"/>
      <c r="B1665" s="26"/>
      <c r="C1665" s="27"/>
      <c r="D1665" s="27"/>
      <c r="E1665" s="26"/>
      <c r="F1665" s="26"/>
      <c r="G1665" s="26"/>
    </row>
    <row r="1666">
      <c r="A1666" s="28"/>
      <c r="B1666" s="26"/>
      <c r="C1666" s="27"/>
      <c r="D1666" s="27"/>
      <c r="E1666" s="26"/>
      <c r="F1666" s="26"/>
      <c r="G1666" s="26"/>
    </row>
    <row r="1667">
      <c r="A1667" s="28"/>
      <c r="B1667" s="26"/>
      <c r="C1667" s="27"/>
      <c r="D1667" s="27"/>
      <c r="E1667" s="26"/>
      <c r="F1667" s="26"/>
      <c r="G1667" s="26"/>
    </row>
    <row r="1668">
      <c r="A1668" s="28"/>
      <c r="B1668" s="26"/>
      <c r="C1668" s="27"/>
      <c r="D1668" s="27"/>
      <c r="E1668" s="26"/>
      <c r="F1668" s="26"/>
      <c r="G1668" s="26"/>
    </row>
    <row r="1669">
      <c r="A1669" s="28"/>
      <c r="B1669" s="26"/>
      <c r="C1669" s="27"/>
      <c r="D1669" s="27"/>
      <c r="E1669" s="26"/>
      <c r="F1669" s="26"/>
      <c r="G1669" s="26"/>
    </row>
    <row r="1670">
      <c r="A1670" s="28"/>
      <c r="B1670" s="26"/>
      <c r="C1670" s="27"/>
      <c r="D1670" s="27"/>
      <c r="E1670" s="26"/>
      <c r="F1670" s="26"/>
      <c r="G1670" s="26"/>
    </row>
    <row r="1671">
      <c r="A1671" s="28"/>
      <c r="B1671" s="26"/>
      <c r="C1671" s="27"/>
      <c r="D1671" s="27"/>
      <c r="E1671" s="26"/>
      <c r="F1671" s="26"/>
      <c r="G1671" s="26"/>
    </row>
    <row r="1672">
      <c r="A1672" s="28"/>
      <c r="B1672" s="26"/>
      <c r="C1672" s="27"/>
      <c r="D1672" s="27"/>
      <c r="E1672" s="26"/>
      <c r="F1672" s="26"/>
      <c r="G1672" s="26"/>
    </row>
    <row r="1673">
      <c r="A1673" s="28"/>
      <c r="B1673" s="26"/>
      <c r="C1673" s="27"/>
      <c r="D1673" s="27"/>
      <c r="E1673" s="26"/>
      <c r="F1673" s="26"/>
      <c r="G1673" s="26"/>
    </row>
    <row r="1674">
      <c r="A1674" s="28"/>
      <c r="B1674" s="26"/>
      <c r="C1674" s="27"/>
      <c r="D1674" s="27"/>
      <c r="E1674" s="26"/>
      <c r="F1674" s="26"/>
      <c r="G1674" s="26"/>
    </row>
    <row r="1675">
      <c r="A1675" s="28"/>
      <c r="B1675" s="26"/>
      <c r="C1675" s="27"/>
      <c r="D1675" s="27"/>
      <c r="E1675" s="26"/>
      <c r="F1675" s="26"/>
      <c r="G1675" s="26"/>
    </row>
    <row r="1676">
      <c r="A1676" s="28"/>
      <c r="B1676" s="26"/>
      <c r="C1676" s="27"/>
      <c r="D1676" s="27"/>
      <c r="E1676" s="26"/>
      <c r="F1676" s="26"/>
      <c r="G1676" s="26"/>
    </row>
    <row r="1677">
      <c r="A1677" s="28"/>
      <c r="B1677" s="26"/>
      <c r="C1677" s="27"/>
      <c r="D1677" s="27"/>
      <c r="E1677" s="26"/>
      <c r="F1677" s="26"/>
      <c r="G1677" s="26"/>
    </row>
    <row r="1678">
      <c r="A1678" s="28"/>
      <c r="B1678" s="26"/>
      <c r="C1678" s="27"/>
      <c r="D1678" s="27"/>
      <c r="E1678" s="26"/>
      <c r="F1678" s="26"/>
      <c r="G1678" s="26"/>
    </row>
    <row r="1679">
      <c r="A1679" s="28"/>
      <c r="B1679" s="26"/>
      <c r="C1679" s="27"/>
      <c r="D1679" s="27"/>
      <c r="E1679" s="26"/>
      <c r="F1679" s="26"/>
      <c r="G1679" s="26"/>
    </row>
    <row r="1680">
      <c r="A1680" s="28"/>
      <c r="B1680" s="26"/>
      <c r="C1680" s="27"/>
      <c r="D1680" s="27"/>
      <c r="E1680" s="26"/>
      <c r="F1680" s="26"/>
      <c r="G1680" s="26"/>
    </row>
    <row r="1681">
      <c r="A1681" s="28"/>
      <c r="B1681" s="26"/>
      <c r="C1681" s="27"/>
      <c r="D1681" s="27"/>
      <c r="E1681" s="26"/>
      <c r="F1681" s="26"/>
      <c r="G1681" s="26"/>
    </row>
    <row r="1682">
      <c r="A1682" s="28"/>
      <c r="B1682" s="26"/>
      <c r="C1682" s="27"/>
      <c r="D1682" s="27"/>
      <c r="E1682" s="26"/>
      <c r="F1682" s="26"/>
      <c r="G1682" s="26"/>
    </row>
    <row r="1683">
      <c r="A1683" s="28"/>
      <c r="B1683" s="26"/>
      <c r="C1683" s="27"/>
      <c r="D1683" s="27"/>
      <c r="E1683" s="26"/>
      <c r="F1683" s="26"/>
      <c r="G1683" s="26"/>
    </row>
    <row r="1684">
      <c r="A1684" s="28"/>
      <c r="B1684" s="26"/>
      <c r="C1684" s="27"/>
      <c r="D1684" s="27"/>
      <c r="E1684" s="26"/>
      <c r="F1684" s="26"/>
      <c r="G1684" s="26"/>
    </row>
    <row r="1685">
      <c r="A1685" s="28"/>
      <c r="B1685" s="26"/>
      <c r="C1685" s="27"/>
      <c r="D1685" s="27"/>
      <c r="E1685" s="26"/>
      <c r="F1685" s="26"/>
      <c r="G1685" s="26"/>
    </row>
    <row r="1686">
      <c r="A1686" s="28"/>
      <c r="B1686" s="26"/>
      <c r="C1686" s="27"/>
      <c r="D1686" s="27"/>
      <c r="E1686" s="26"/>
      <c r="F1686" s="26"/>
      <c r="G1686" s="26"/>
    </row>
    <row r="1687">
      <c r="A1687" s="28"/>
      <c r="B1687" s="26"/>
      <c r="C1687" s="27"/>
      <c r="D1687" s="27"/>
      <c r="E1687" s="26"/>
      <c r="F1687" s="26"/>
      <c r="G1687" s="26"/>
    </row>
    <row r="1688">
      <c r="A1688" s="28"/>
      <c r="B1688" s="26"/>
      <c r="C1688" s="27"/>
      <c r="D1688" s="27"/>
      <c r="E1688" s="26"/>
      <c r="F1688" s="26"/>
      <c r="G1688" s="26"/>
    </row>
    <row r="1689">
      <c r="A1689" s="28"/>
      <c r="B1689" s="26"/>
      <c r="C1689" s="27"/>
      <c r="D1689" s="27"/>
      <c r="E1689" s="26"/>
      <c r="F1689" s="26"/>
      <c r="G1689" s="26"/>
    </row>
    <row r="1690">
      <c r="A1690" s="28"/>
      <c r="B1690" s="26"/>
      <c r="C1690" s="27"/>
      <c r="D1690" s="27"/>
      <c r="E1690" s="26"/>
      <c r="F1690" s="26"/>
      <c r="G1690" s="26"/>
    </row>
    <row r="1691">
      <c r="A1691" s="28"/>
      <c r="B1691" s="26"/>
      <c r="C1691" s="27"/>
      <c r="D1691" s="27"/>
      <c r="E1691" s="26"/>
      <c r="F1691" s="26"/>
      <c r="G1691" s="26"/>
    </row>
    <row r="1692">
      <c r="A1692" s="28"/>
      <c r="B1692" s="26"/>
      <c r="C1692" s="27"/>
      <c r="D1692" s="27"/>
      <c r="E1692" s="26"/>
      <c r="F1692" s="26"/>
      <c r="G1692" s="26"/>
    </row>
    <row r="1693">
      <c r="A1693" s="28"/>
      <c r="B1693" s="26"/>
      <c r="C1693" s="27"/>
      <c r="D1693" s="27"/>
      <c r="E1693" s="26"/>
      <c r="F1693" s="26"/>
      <c r="G1693" s="26"/>
    </row>
    <row r="1694">
      <c r="A1694" s="28"/>
      <c r="B1694" s="26"/>
      <c r="C1694" s="27"/>
      <c r="D1694" s="27"/>
      <c r="E1694" s="26"/>
      <c r="F1694" s="26"/>
      <c r="G1694" s="26"/>
    </row>
    <row r="1695">
      <c r="A1695" s="28"/>
      <c r="B1695" s="26"/>
      <c r="C1695" s="27"/>
      <c r="D1695" s="27"/>
      <c r="E1695" s="26"/>
      <c r="F1695" s="26"/>
      <c r="G1695" s="26"/>
    </row>
    <row r="1696">
      <c r="A1696" s="28"/>
      <c r="B1696" s="26"/>
      <c r="C1696" s="27"/>
      <c r="D1696" s="27"/>
      <c r="E1696" s="26"/>
      <c r="F1696" s="26"/>
      <c r="G1696" s="26"/>
    </row>
    <row r="1697">
      <c r="A1697" s="28"/>
      <c r="B1697" s="26"/>
      <c r="C1697" s="27"/>
      <c r="D1697" s="27"/>
      <c r="E1697" s="26"/>
      <c r="F1697" s="26"/>
      <c r="G1697" s="26"/>
    </row>
    <row r="1698">
      <c r="A1698" s="28"/>
      <c r="B1698" s="26"/>
      <c r="C1698" s="27"/>
      <c r="D1698" s="27"/>
      <c r="E1698" s="26"/>
      <c r="F1698" s="26"/>
      <c r="G1698" s="26"/>
    </row>
    <row r="1699">
      <c r="A1699" s="28"/>
      <c r="B1699" s="26"/>
      <c r="C1699" s="27"/>
      <c r="D1699" s="27"/>
      <c r="E1699" s="26"/>
      <c r="F1699" s="26"/>
      <c r="G1699" s="26"/>
    </row>
    <row r="1700">
      <c r="A1700" s="28"/>
      <c r="B1700" s="26"/>
      <c r="C1700" s="27"/>
      <c r="D1700" s="27"/>
      <c r="E1700" s="26"/>
      <c r="F1700" s="26"/>
      <c r="G1700" s="26"/>
    </row>
    <row r="1701">
      <c r="A1701" s="28"/>
      <c r="B1701" s="26"/>
      <c r="C1701" s="27"/>
      <c r="D1701" s="27"/>
      <c r="E1701" s="26"/>
      <c r="F1701" s="26"/>
      <c r="G1701" s="26"/>
    </row>
    <row r="1702">
      <c r="A1702" s="28"/>
      <c r="B1702" s="26"/>
      <c r="C1702" s="27"/>
      <c r="D1702" s="27"/>
      <c r="E1702" s="26"/>
      <c r="F1702" s="26"/>
      <c r="G1702" s="26"/>
    </row>
    <row r="1703">
      <c r="A1703" s="28"/>
      <c r="B1703" s="26"/>
      <c r="C1703" s="27"/>
      <c r="D1703" s="27"/>
      <c r="E1703" s="26"/>
      <c r="F1703" s="26"/>
      <c r="G1703" s="26"/>
    </row>
    <row r="1704">
      <c r="A1704" s="28"/>
      <c r="B1704" s="26"/>
      <c r="C1704" s="27"/>
      <c r="D1704" s="27"/>
      <c r="E1704" s="26"/>
      <c r="F1704" s="26"/>
      <c r="G1704" s="26"/>
    </row>
    <row r="1705">
      <c r="A1705" s="28"/>
      <c r="B1705" s="26"/>
      <c r="C1705" s="27"/>
      <c r="D1705" s="27"/>
      <c r="E1705" s="26"/>
      <c r="F1705" s="26"/>
      <c r="G1705" s="26"/>
    </row>
    <row r="1706">
      <c r="A1706" s="28"/>
      <c r="B1706" s="26"/>
      <c r="C1706" s="27"/>
      <c r="D1706" s="27"/>
      <c r="E1706" s="26"/>
      <c r="F1706" s="26"/>
      <c r="G1706" s="26"/>
    </row>
    <row r="1707">
      <c r="A1707" s="28"/>
      <c r="B1707" s="26"/>
      <c r="C1707" s="27"/>
      <c r="D1707" s="27"/>
      <c r="E1707" s="26"/>
      <c r="F1707" s="26"/>
      <c r="G1707" s="26"/>
    </row>
    <row r="1708">
      <c r="A1708" s="28"/>
      <c r="B1708" s="26"/>
      <c r="C1708" s="27"/>
      <c r="D1708" s="27"/>
      <c r="E1708" s="26"/>
      <c r="F1708" s="26"/>
      <c r="G1708" s="26"/>
    </row>
    <row r="1709">
      <c r="A1709" s="28"/>
      <c r="B1709" s="26"/>
      <c r="C1709" s="27"/>
      <c r="D1709" s="27"/>
      <c r="E1709" s="26"/>
      <c r="F1709" s="26"/>
      <c r="G1709" s="26"/>
    </row>
    <row r="1710">
      <c r="A1710" s="28"/>
      <c r="B1710" s="26"/>
      <c r="C1710" s="27"/>
      <c r="D1710" s="27"/>
      <c r="E1710" s="26"/>
      <c r="F1710" s="26"/>
      <c r="G1710" s="26"/>
    </row>
    <row r="1711">
      <c r="A1711" s="28"/>
      <c r="B1711" s="26"/>
      <c r="C1711" s="27"/>
      <c r="D1711" s="27"/>
      <c r="E1711" s="26"/>
      <c r="F1711" s="26"/>
      <c r="G1711" s="26"/>
    </row>
    <row r="1712">
      <c r="A1712" s="28"/>
      <c r="B1712" s="26"/>
      <c r="C1712" s="27"/>
      <c r="D1712" s="27"/>
      <c r="E1712" s="26"/>
      <c r="F1712" s="26"/>
      <c r="G1712" s="26"/>
    </row>
    <row r="1713">
      <c r="A1713" s="28"/>
      <c r="B1713" s="26"/>
      <c r="C1713" s="27"/>
      <c r="D1713" s="27"/>
      <c r="E1713" s="26"/>
      <c r="F1713" s="26"/>
      <c r="G1713" s="26"/>
    </row>
    <row r="1714">
      <c r="A1714" s="28"/>
      <c r="B1714" s="26"/>
      <c r="C1714" s="27"/>
      <c r="D1714" s="27"/>
      <c r="E1714" s="26"/>
      <c r="F1714" s="26"/>
      <c r="G1714" s="26"/>
    </row>
    <row r="1715">
      <c r="A1715" s="28"/>
      <c r="B1715" s="26"/>
      <c r="C1715" s="27"/>
      <c r="D1715" s="27"/>
      <c r="E1715" s="26"/>
      <c r="F1715" s="26"/>
      <c r="G1715" s="26"/>
    </row>
    <row r="1716">
      <c r="A1716" s="28"/>
      <c r="B1716" s="26"/>
      <c r="C1716" s="27"/>
      <c r="D1716" s="27"/>
      <c r="E1716" s="26"/>
      <c r="F1716" s="26"/>
      <c r="G1716" s="26"/>
    </row>
    <row r="1717">
      <c r="A1717" s="28"/>
      <c r="B1717" s="26"/>
      <c r="C1717" s="27"/>
      <c r="D1717" s="27"/>
      <c r="E1717" s="26"/>
      <c r="F1717" s="26"/>
      <c r="G1717" s="26"/>
    </row>
    <row r="1718">
      <c r="A1718" s="28"/>
      <c r="B1718" s="26"/>
      <c r="C1718" s="27"/>
      <c r="D1718" s="27"/>
      <c r="E1718" s="26"/>
      <c r="F1718" s="26"/>
      <c r="G1718" s="26"/>
    </row>
    <row r="1719">
      <c r="A1719" s="28"/>
      <c r="B1719" s="26"/>
      <c r="C1719" s="27"/>
      <c r="D1719" s="27"/>
      <c r="E1719" s="26"/>
      <c r="F1719" s="26"/>
      <c r="G1719" s="26"/>
    </row>
    <row r="1720">
      <c r="A1720" s="28"/>
      <c r="B1720" s="26"/>
      <c r="C1720" s="27"/>
      <c r="D1720" s="27"/>
      <c r="E1720" s="26"/>
      <c r="F1720" s="26"/>
      <c r="G1720" s="26"/>
    </row>
    <row r="1721">
      <c r="A1721" s="28"/>
      <c r="B1721" s="26"/>
      <c r="C1721" s="27"/>
      <c r="D1721" s="27"/>
      <c r="E1721" s="26"/>
      <c r="F1721" s="26"/>
      <c r="G1721" s="26"/>
    </row>
    <row r="1722">
      <c r="A1722" s="28"/>
      <c r="B1722" s="26"/>
      <c r="C1722" s="27"/>
      <c r="D1722" s="27"/>
      <c r="E1722" s="26"/>
      <c r="F1722" s="26"/>
      <c r="G1722" s="26"/>
    </row>
    <row r="1723">
      <c r="A1723" s="28"/>
      <c r="B1723" s="26"/>
      <c r="C1723" s="27"/>
      <c r="D1723" s="27"/>
      <c r="E1723" s="26"/>
      <c r="F1723" s="26"/>
      <c r="G1723" s="26"/>
    </row>
    <row r="1724">
      <c r="A1724" s="28"/>
      <c r="B1724" s="26"/>
      <c r="C1724" s="27"/>
      <c r="D1724" s="27"/>
      <c r="E1724" s="26"/>
      <c r="F1724" s="26"/>
      <c r="G1724" s="26"/>
    </row>
    <row r="1725">
      <c r="A1725" s="28"/>
      <c r="B1725" s="26"/>
      <c r="C1725" s="27"/>
      <c r="D1725" s="27"/>
      <c r="E1725" s="26"/>
      <c r="F1725" s="26"/>
      <c r="G1725" s="26"/>
    </row>
    <row r="1726">
      <c r="A1726" s="28"/>
      <c r="B1726" s="26"/>
      <c r="C1726" s="27"/>
      <c r="D1726" s="27"/>
      <c r="E1726" s="26"/>
      <c r="F1726" s="26"/>
      <c r="G1726" s="26"/>
    </row>
    <row r="1727">
      <c r="A1727" s="28"/>
      <c r="B1727" s="26"/>
      <c r="C1727" s="27"/>
      <c r="D1727" s="27"/>
      <c r="E1727" s="26"/>
      <c r="F1727" s="26"/>
      <c r="G1727" s="26"/>
    </row>
    <row r="1728">
      <c r="A1728" s="28"/>
      <c r="B1728" s="26"/>
      <c r="C1728" s="27"/>
      <c r="D1728" s="27"/>
      <c r="E1728" s="26"/>
      <c r="F1728" s="26"/>
      <c r="G1728" s="26"/>
    </row>
    <row r="1729">
      <c r="A1729" s="28"/>
      <c r="B1729" s="26"/>
      <c r="C1729" s="27"/>
      <c r="D1729" s="27"/>
      <c r="E1729" s="26"/>
      <c r="F1729" s="26"/>
      <c r="G1729" s="26"/>
    </row>
    <row r="1730">
      <c r="A1730" s="28"/>
      <c r="B1730" s="26"/>
      <c r="C1730" s="27"/>
      <c r="D1730" s="27"/>
      <c r="E1730" s="26"/>
      <c r="F1730" s="26"/>
      <c r="G1730" s="26"/>
    </row>
    <row r="1731">
      <c r="A1731" s="28"/>
      <c r="B1731" s="26"/>
      <c r="C1731" s="27"/>
      <c r="D1731" s="27"/>
      <c r="E1731" s="26"/>
      <c r="F1731" s="26"/>
      <c r="G1731" s="26"/>
    </row>
    <row r="1732">
      <c r="A1732" s="28"/>
      <c r="B1732" s="26"/>
      <c r="C1732" s="27"/>
      <c r="D1732" s="27"/>
      <c r="E1732" s="26"/>
      <c r="F1732" s="26"/>
      <c r="G1732" s="26"/>
    </row>
    <row r="1733">
      <c r="A1733" s="28"/>
      <c r="B1733" s="26"/>
      <c r="C1733" s="27"/>
      <c r="D1733" s="27"/>
      <c r="E1733" s="26"/>
      <c r="F1733" s="26"/>
      <c r="G1733" s="26"/>
    </row>
    <row r="1734">
      <c r="A1734" s="28"/>
      <c r="B1734" s="26"/>
      <c r="C1734" s="27"/>
      <c r="D1734" s="27"/>
      <c r="E1734" s="26"/>
      <c r="F1734" s="26"/>
      <c r="G1734" s="26"/>
    </row>
    <row r="1735">
      <c r="A1735" s="28"/>
      <c r="B1735" s="26"/>
      <c r="C1735" s="27"/>
      <c r="D1735" s="27"/>
      <c r="E1735" s="26"/>
      <c r="F1735" s="26"/>
      <c r="G1735" s="26"/>
    </row>
    <row r="1736">
      <c r="A1736" s="28"/>
      <c r="B1736" s="26"/>
      <c r="C1736" s="27"/>
      <c r="D1736" s="27"/>
      <c r="E1736" s="26"/>
      <c r="F1736" s="26"/>
      <c r="G1736" s="26"/>
    </row>
    <row r="1737">
      <c r="A1737" s="28"/>
      <c r="B1737" s="26"/>
      <c r="C1737" s="27"/>
      <c r="D1737" s="27"/>
      <c r="E1737" s="26"/>
      <c r="F1737" s="26"/>
      <c r="G1737" s="26"/>
    </row>
    <row r="1738">
      <c r="A1738" s="28"/>
      <c r="B1738" s="26"/>
      <c r="C1738" s="27"/>
      <c r="D1738" s="27"/>
      <c r="E1738" s="26"/>
      <c r="F1738" s="26"/>
      <c r="G1738" s="26"/>
    </row>
    <row r="1739">
      <c r="A1739" s="28"/>
      <c r="B1739" s="26"/>
      <c r="C1739" s="27"/>
      <c r="D1739" s="27"/>
      <c r="E1739" s="26"/>
      <c r="F1739" s="26"/>
      <c r="G1739" s="26"/>
    </row>
    <row r="1740">
      <c r="A1740" s="28"/>
      <c r="B1740" s="26"/>
      <c r="C1740" s="27"/>
      <c r="D1740" s="27"/>
      <c r="E1740" s="26"/>
      <c r="F1740" s="26"/>
      <c r="G1740" s="26"/>
    </row>
    <row r="1741">
      <c r="A1741" s="28"/>
      <c r="B1741" s="26"/>
      <c r="C1741" s="27"/>
      <c r="D1741" s="27"/>
      <c r="E1741" s="26"/>
      <c r="F1741" s="26"/>
      <c r="G1741" s="26"/>
    </row>
    <row r="1742">
      <c r="A1742" s="28"/>
      <c r="B1742" s="26"/>
      <c r="C1742" s="27"/>
      <c r="D1742" s="27"/>
      <c r="E1742" s="26"/>
      <c r="F1742" s="26"/>
      <c r="G1742" s="26"/>
    </row>
    <row r="1743">
      <c r="A1743" s="28"/>
      <c r="B1743" s="26"/>
      <c r="C1743" s="27"/>
      <c r="D1743" s="27"/>
      <c r="E1743" s="26"/>
      <c r="F1743" s="26"/>
      <c r="G1743" s="26"/>
    </row>
    <row r="1744">
      <c r="A1744" s="28"/>
      <c r="B1744" s="26"/>
      <c r="C1744" s="27"/>
      <c r="D1744" s="27"/>
      <c r="E1744" s="26"/>
      <c r="F1744" s="26"/>
      <c r="G1744" s="26"/>
    </row>
    <row r="1745">
      <c r="A1745" s="28"/>
      <c r="B1745" s="26"/>
      <c r="C1745" s="27"/>
      <c r="D1745" s="27"/>
      <c r="E1745" s="26"/>
      <c r="F1745" s="26"/>
      <c r="G1745" s="26"/>
    </row>
    <row r="1746">
      <c r="A1746" s="28"/>
      <c r="B1746" s="26"/>
      <c r="C1746" s="27"/>
      <c r="D1746" s="27"/>
      <c r="E1746" s="26"/>
      <c r="F1746" s="26"/>
      <c r="G1746" s="26"/>
    </row>
    <row r="1747">
      <c r="A1747" s="28"/>
      <c r="B1747" s="26"/>
      <c r="C1747" s="27"/>
      <c r="D1747" s="27"/>
      <c r="E1747" s="26"/>
      <c r="F1747" s="26"/>
      <c r="G1747" s="26"/>
    </row>
    <row r="1748">
      <c r="A1748" s="28"/>
      <c r="B1748" s="26"/>
      <c r="C1748" s="27"/>
      <c r="D1748" s="27"/>
      <c r="E1748" s="26"/>
      <c r="F1748" s="26"/>
      <c r="G1748" s="26"/>
    </row>
    <row r="1749">
      <c r="A1749" s="28"/>
      <c r="B1749" s="26"/>
      <c r="C1749" s="27"/>
      <c r="D1749" s="27"/>
      <c r="E1749" s="26"/>
      <c r="F1749" s="26"/>
      <c r="G1749" s="26"/>
    </row>
    <row r="1750">
      <c r="A1750" s="28"/>
      <c r="B1750" s="26"/>
      <c r="C1750" s="27"/>
      <c r="D1750" s="27"/>
      <c r="E1750" s="26"/>
      <c r="F1750" s="26"/>
      <c r="G1750" s="26"/>
    </row>
    <row r="1751">
      <c r="A1751" s="28"/>
      <c r="B1751" s="26"/>
      <c r="C1751" s="27"/>
      <c r="D1751" s="27"/>
      <c r="E1751" s="26"/>
      <c r="F1751" s="26"/>
      <c r="G1751" s="26"/>
    </row>
    <row r="1752">
      <c r="A1752" s="28"/>
      <c r="B1752" s="26"/>
      <c r="C1752" s="27"/>
      <c r="D1752" s="27"/>
      <c r="E1752" s="26"/>
      <c r="F1752" s="26"/>
      <c r="G1752" s="26"/>
    </row>
    <row r="1753">
      <c r="A1753" s="28"/>
      <c r="B1753" s="26"/>
      <c r="C1753" s="27"/>
      <c r="D1753" s="27"/>
      <c r="E1753" s="26"/>
      <c r="F1753" s="26"/>
      <c r="G1753" s="26"/>
    </row>
    <row r="1754">
      <c r="A1754" s="28"/>
      <c r="B1754" s="26"/>
      <c r="C1754" s="27"/>
      <c r="D1754" s="27"/>
      <c r="E1754" s="26"/>
      <c r="F1754" s="26"/>
      <c r="G1754" s="26"/>
    </row>
    <row r="1755">
      <c r="A1755" s="28"/>
      <c r="B1755" s="26"/>
      <c r="C1755" s="27"/>
      <c r="D1755" s="27"/>
      <c r="E1755" s="26"/>
      <c r="F1755" s="26"/>
      <c r="G1755" s="26"/>
    </row>
    <row r="1756">
      <c r="A1756" s="28"/>
      <c r="B1756" s="26"/>
      <c r="C1756" s="27"/>
      <c r="D1756" s="27"/>
      <c r="E1756" s="26"/>
      <c r="F1756" s="26"/>
      <c r="G1756" s="26"/>
    </row>
    <row r="1757">
      <c r="A1757" s="28"/>
      <c r="B1757" s="26"/>
      <c r="C1757" s="27"/>
      <c r="D1757" s="27"/>
      <c r="E1757" s="26"/>
      <c r="F1757" s="26"/>
      <c r="G1757" s="26"/>
    </row>
    <row r="1758">
      <c r="A1758" s="28"/>
      <c r="B1758" s="26"/>
      <c r="C1758" s="27"/>
      <c r="D1758" s="27"/>
      <c r="E1758" s="26"/>
      <c r="F1758" s="26"/>
      <c r="G1758" s="26"/>
    </row>
    <row r="1759">
      <c r="A1759" s="28"/>
      <c r="B1759" s="26"/>
      <c r="C1759" s="27"/>
      <c r="D1759" s="27"/>
      <c r="E1759" s="26"/>
      <c r="F1759" s="26"/>
      <c r="G1759" s="26"/>
    </row>
    <row r="1760">
      <c r="A1760" s="28"/>
      <c r="B1760" s="26"/>
      <c r="C1760" s="27"/>
      <c r="D1760" s="27"/>
      <c r="E1760" s="26"/>
      <c r="F1760" s="26"/>
      <c r="G1760" s="26"/>
    </row>
    <row r="1761">
      <c r="A1761" s="28"/>
      <c r="B1761" s="26"/>
      <c r="C1761" s="27"/>
      <c r="D1761" s="27"/>
      <c r="E1761" s="26"/>
      <c r="F1761" s="26"/>
      <c r="G1761" s="26"/>
    </row>
    <row r="1762">
      <c r="A1762" s="28"/>
      <c r="B1762" s="26"/>
      <c r="C1762" s="27"/>
      <c r="D1762" s="27"/>
      <c r="E1762" s="26"/>
      <c r="F1762" s="26"/>
      <c r="G1762" s="26"/>
    </row>
    <row r="1763">
      <c r="A1763" s="28"/>
      <c r="B1763" s="26"/>
      <c r="C1763" s="27"/>
      <c r="D1763" s="27"/>
      <c r="E1763" s="26"/>
      <c r="F1763" s="26"/>
      <c r="G1763" s="26"/>
    </row>
    <row r="1764">
      <c r="A1764" s="28"/>
      <c r="B1764" s="26"/>
      <c r="C1764" s="27"/>
      <c r="D1764" s="27"/>
      <c r="E1764" s="26"/>
      <c r="F1764" s="26"/>
      <c r="G1764" s="26"/>
    </row>
    <row r="1765">
      <c r="A1765" s="28"/>
      <c r="B1765" s="26"/>
      <c r="C1765" s="27"/>
      <c r="D1765" s="27"/>
      <c r="E1765" s="26"/>
      <c r="F1765" s="26"/>
      <c r="G1765" s="26"/>
    </row>
    <row r="1766">
      <c r="A1766" s="28"/>
      <c r="B1766" s="26"/>
      <c r="C1766" s="27"/>
      <c r="D1766" s="27"/>
      <c r="E1766" s="26"/>
      <c r="F1766" s="26"/>
      <c r="G1766" s="26"/>
    </row>
    <row r="1767">
      <c r="A1767" s="28"/>
      <c r="B1767" s="26"/>
      <c r="C1767" s="27"/>
      <c r="D1767" s="27"/>
      <c r="E1767" s="26"/>
      <c r="F1767" s="26"/>
      <c r="G1767" s="26"/>
    </row>
    <row r="1768">
      <c r="A1768" s="28"/>
      <c r="B1768" s="26"/>
      <c r="C1768" s="27"/>
      <c r="D1768" s="27"/>
      <c r="E1768" s="26"/>
      <c r="F1768" s="26"/>
      <c r="G1768" s="26"/>
    </row>
    <row r="1769">
      <c r="A1769" s="28"/>
      <c r="B1769" s="26"/>
      <c r="C1769" s="27"/>
      <c r="D1769" s="27"/>
      <c r="E1769" s="26"/>
      <c r="F1769" s="26"/>
      <c r="G1769" s="26"/>
    </row>
    <row r="1770">
      <c r="A1770" s="28"/>
      <c r="B1770" s="26"/>
      <c r="C1770" s="27"/>
      <c r="D1770" s="27"/>
      <c r="E1770" s="26"/>
      <c r="F1770" s="26"/>
      <c r="G1770" s="26"/>
    </row>
    <row r="1771">
      <c r="A1771" s="28"/>
      <c r="B1771" s="26"/>
      <c r="C1771" s="27"/>
      <c r="D1771" s="27"/>
      <c r="E1771" s="26"/>
      <c r="F1771" s="26"/>
      <c r="G1771" s="26"/>
    </row>
    <row r="1772">
      <c r="A1772" s="28"/>
      <c r="B1772" s="26"/>
      <c r="C1772" s="27"/>
      <c r="D1772" s="27"/>
      <c r="E1772" s="26"/>
      <c r="F1772" s="26"/>
      <c r="G1772" s="26"/>
    </row>
    <row r="1773">
      <c r="A1773" s="28"/>
      <c r="B1773" s="26"/>
      <c r="C1773" s="27"/>
      <c r="D1773" s="27"/>
      <c r="E1773" s="26"/>
      <c r="F1773" s="26"/>
      <c r="G1773" s="26"/>
    </row>
    <row r="1774">
      <c r="A1774" s="28"/>
      <c r="B1774" s="26"/>
      <c r="C1774" s="27"/>
      <c r="D1774" s="27"/>
      <c r="E1774" s="26"/>
      <c r="F1774" s="26"/>
      <c r="G1774" s="26"/>
    </row>
    <row r="1775">
      <c r="A1775" s="28"/>
      <c r="B1775" s="26"/>
      <c r="C1775" s="27"/>
      <c r="D1775" s="27"/>
      <c r="E1775" s="26"/>
      <c r="F1775" s="26"/>
      <c r="G1775" s="26"/>
    </row>
    <row r="1776">
      <c r="A1776" s="28"/>
      <c r="B1776" s="26"/>
      <c r="C1776" s="27"/>
      <c r="D1776" s="27"/>
      <c r="E1776" s="26"/>
      <c r="F1776" s="26"/>
      <c r="G1776" s="26"/>
    </row>
    <row r="1777">
      <c r="A1777" s="28"/>
      <c r="B1777" s="26"/>
      <c r="C1777" s="27"/>
      <c r="D1777" s="27"/>
      <c r="E1777" s="26"/>
      <c r="F1777" s="26"/>
      <c r="G1777" s="26"/>
    </row>
    <row r="1778">
      <c r="A1778" s="28"/>
      <c r="B1778" s="26"/>
      <c r="C1778" s="27"/>
      <c r="D1778" s="27"/>
      <c r="E1778" s="26"/>
      <c r="F1778" s="26"/>
      <c r="G1778" s="26"/>
    </row>
    <row r="1779">
      <c r="A1779" s="28"/>
      <c r="B1779" s="26"/>
      <c r="C1779" s="27"/>
      <c r="D1779" s="27"/>
      <c r="E1779" s="26"/>
      <c r="F1779" s="26"/>
      <c r="G1779" s="26"/>
    </row>
    <row r="1780">
      <c r="A1780" s="28"/>
      <c r="B1780" s="26"/>
      <c r="C1780" s="27"/>
      <c r="D1780" s="27"/>
      <c r="E1780" s="26"/>
      <c r="F1780" s="26"/>
      <c r="G1780" s="26"/>
    </row>
    <row r="1781">
      <c r="A1781" s="28"/>
      <c r="B1781" s="26"/>
      <c r="C1781" s="27"/>
      <c r="D1781" s="27"/>
      <c r="E1781" s="26"/>
      <c r="F1781" s="26"/>
      <c r="G1781" s="26"/>
    </row>
    <row r="1782">
      <c r="A1782" s="28"/>
      <c r="B1782" s="26"/>
      <c r="C1782" s="27"/>
      <c r="D1782" s="27"/>
      <c r="E1782" s="26"/>
      <c r="F1782" s="26"/>
      <c r="G1782" s="26"/>
    </row>
    <row r="1783">
      <c r="A1783" s="28"/>
      <c r="B1783" s="26"/>
      <c r="C1783" s="27"/>
      <c r="D1783" s="27"/>
      <c r="E1783" s="26"/>
      <c r="F1783" s="26"/>
      <c r="G1783" s="26"/>
    </row>
    <row r="1784">
      <c r="A1784" s="28"/>
      <c r="B1784" s="26"/>
      <c r="C1784" s="27"/>
      <c r="D1784" s="27"/>
      <c r="E1784" s="26"/>
      <c r="F1784" s="26"/>
      <c r="G1784" s="26"/>
    </row>
    <row r="1785">
      <c r="A1785" s="28"/>
      <c r="B1785" s="26"/>
      <c r="C1785" s="27"/>
      <c r="D1785" s="27"/>
      <c r="E1785" s="26"/>
      <c r="F1785" s="26"/>
      <c r="G1785" s="26"/>
    </row>
    <row r="1786">
      <c r="A1786" s="28"/>
      <c r="B1786" s="26"/>
      <c r="C1786" s="27"/>
      <c r="D1786" s="27"/>
      <c r="E1786" s="26"/>
      <c r="F1786" s="26"/>
      <c r="G1786" s="26"/>
    </row>
    <row r="1787">
      <c r="A1787" s="28"/>
      <c r="B1787" s="26"/>
      <c r="C1787" s="27"/>
      <c r="D1787" s="27"/>
      <c r="E1787" s="26"/>
      <c r="F1787" s="26"/>
      <c r="G1787" s="26"/>
    </row>
    <row r="1788">
      <c r="A1788" s="28"/>
      <c r="B1788" s="26"/>
      <c r="C1788" s="27"/>
      <c r="D1788" s="27"/>
      <c r="E1788" s="26"/>
      <c r="F1788" s="26"/>
      <c r="G1788" s="26"/>
    </row>
    <row r="1789">
      <c r="A1789" s="28"/>
      <c r="B1789" s="26"/>
      <c r="C1789" s="27"/>
      <c r="D1789" s="27"/>
      <c r="E1789" s="26"/>
      <c r="F1789" s="26"/>
      <c r="G1789" s="26"/>
    </row>
    <row r="1790">
      <c r="A1790" s="28"/>
      <c r="B1790" s="26"/>
      <c r="C1790" s="27"/>
      <c r="D1790" s="27"/>
      <c r="E1790" s="26"/>
      <c r="F1790" s="26"/>
      <c r="G1790" s="26"/>
    </row>
    <row r="1791">
      <c r="A1791" s="28"/>
      <c r="B1791" s="26"/>
      <c r="C1791" s="27"/>
      <c r="D1791" s="27"/>
      <c r="E1791" s="26"/>
      <c r="F1791" s="26"/>
      <c r="G1791" s="26"/>
    </row>
    <row r="1792">
      <c r="A1792" s="28"/>
      <c r="B1792" s="26"/>
      <c r="C1792" s="27"/>
      <c r="D1792" s="27"/>
      <c r="E1792" s="26"/>
      <c r="F1792" s="26"/>
      <c r="G1792" s="26"/>
    </row>
    <row r="1793">
      <c r="A1793" s="28"/>
      <c r="B1793" s="26"/>
      <c r="C1793" s="27"/>
      <c r="D1793" s="27"/>
      <c r="E1793" s="26"/>
      <c r="F1793" s="26"/>
      <c r="G1793" s="26"/>
    </row>
    <row r="1794">
      <c r="A1794" s="28"/>
      <c r="B1794" s="26"/>
      <c r="C1794" s="27"/>
      <c r="D1794" s="27"/>
      <c r="E1794" s="26"/>
      <c r="F1794" s="26"/>
      <c r="G1794" s="26"/>
    </row>
    <row r="1795">
      <c r="A1795" s="28"/>
      <c r="B1795" s="26"/>
      <c r="C1795" s="27"/>
      <c r="D1795" s="27"/>
      <c r="E1795" s="26"/>
      <c r="F1795" s="26"/>
      <c r="G1795" s="26"/>
    </row>
    <row r="1796">
      <c r="A1796" s="28"/>
      <c r="B1796" s="26"/>
      <c r="C1796" s="27"/>
      <c r="D1796" s="27"/>
      <c r="E1796" s="26"/>
      <c r="F1796" s="26"/>
      <c r="G1796" s="26"/>
    </row>
    <row r="1797">
      <c r="A1797" s="28"/>
      <c r="B1797" s="26"/>
      <c r="C1797" s="27"/>
      <c r="D1797" s="27"/>
      <c r="E1797" s="26"/>
      <c r="F1797" s="26"/>
      <c r="G1797" s="26"/>
    </row>
    <row r="1798">
      <c r="A1798" s="28"/>
      <c r="B1798" s="26"/>
      <c r="C1798" s="27"/>
      <c r="D1798" s="27"/>
      <c r="E1798" s="26"/>
      <c r="F1798" s="26"/>
      <c r="G1798" s="26"/>
    </row>
    <row r="1799">
      <c r="A1799" s="28"/>
      <c r="B1799" s="26"/>
      <c r="C1799" s="27"/>
      <c r="D1799" s="27"/>
      <c r="E1799" s="26"/>
      <c r="F1799" s="26"/>
      <c r="G1799" s="26"/>
    </row>
    <row r="1800">
      <c r="A1800" s="28"/>
      <c r="B1800" s="26"/>
      <c r="C1800" s="27"/>
      <c r="D1800" s="27"/>
      <c r="E1800" s="26"/>
      <c r="F1800" s="26"/>
      <c r="G1800" s="26"/>
    </row>
    <row r="1801">
      <c r="A1801" s="28"/>
      <c r="B1801" s="26"/>
      <c r="C1801" s="27"/>
      <c r="D1801" s="27"/>
      <c r="E1801" s="26"/>
      <c r="F1801" s="26"/>
      <c r="G1801" s="26"/>
    </row>
    <row r="1802">
      <c r="A1802" s="28"/>
      <c r="B1802" s="26"/>
      <c r="C1802" s="27"/>
      <c r="D1802" s="27"/>
      <c r="E1802" s="26"/>
      <c r="F1802" s="26"/>
      <c r="G1802" s="26"/>
    </row>
    <row r="1803">
      <c r="A1803" s="28"/>
      <c r="B1803" s="26"/>
      <c r="C1803" s="27"/>
      <c r="D1803" s="27"/>
      <c r="E1803" s="26"/>
      <c r="F1803" s="26"/>
      <c r="G1803" s="26"/>
    </row>
    <row r="1804">
      <c r="A1804" s="28"/>
      <c r="B1804" s="26"/>
      <c r="C1804" s="27"/>
      <c r="D1804" s="27"/>
      <c r="E1804" s="26"/>
      <c r="F1804" s="26"/>
      <c r="G1804" s="26"/>
    </row>
    <row r="1805">
      <c r="A1805" s="28"/>
      <c r="B1805" s="26"/>
      <c r="C1805" s="27"/>
      <c r="D1805" s="27"/>
      <c r="E1805" s="26"/>
      <c r="F1805" s="26"/>
      <c r="G1805" s="26"/>
    </row>
    <row r="1806">
      <c r="A1806" s="28"/>
      <c r="B1806" s="26"/>
      <c r="C1806" s="27"/>
      <c r="D1806" s="27"/>
      <c r="E1806" s="26"/>
      <c r="F1806" s="26"/>
      <c r="G1806" s="26"/>
    </row>
    <row r="1807">
      <c r="A1807" s="28"/>
      <c r="B1807" s="26"/>
      <c r="C1807" s="27"/>
      <c r="D1807" s="27"/>
      <c r="E1807" s="26"/>
      <c r="F1807" s="26"/>
      <c r="G1807" s="26"/>
    </row>
    <row r="1808">
      <c r="A1808" s="28"/>
      <c r="B1808" s="26"/>
      <c r="C1808" s="27"/>
      <c r="D1808" s="27"/>
      <c r="E1808" s="26"/>
      <c r="F1808" s="26"/>
      <c r="G1808" s="26"/>
    </row>
    <row r="1809">
      <c r="A1809" s="28"/>
      <c r="B1809" s="26"/>
      <c r="C1809" s="27"/>
      <c r="D1809" s="27"/>
      <c r="E1809" s="26"/>
      <c r="F1809" s="26"/>
      <c r="G1809" s="26"/>
    </row>
    <row r="1810">
      <c r="A1810" s="28"/>
      <c r="B1810" s="26"/>
      <c r="C1810" s="27"/>
      <c r="D1810" s="27"/>
      <c r="E1810" s="26"/>
      <c r="F1810" s="26"/>
      <c r="G1810" s="26"/>
    </row>
    <row r="1811">
      <c r="A1811" s="28"/>
      <c r="B1811" s="26"/>
      <c r="C1811" s="27"/>
      <c r="D1811" s="27"/>
      <c r="E1811" s="26"/>
      <c r="F1811" s="26"/>
      <c r="G1811" s="26"/>
    </row>
    <row r="1812">
      <c r="A1812" s="28"/>
      <c r="B1812" s="26"/>
      <c r="C1812" s="27"/>
      <c r="D1812" s="27"/>
      <c r="E1812" s="26"/>
      <c r="F1812" s="26"/>
      <c r="G1812" s="26"/>
    </row>
    <row r="1813">
      <c r="A1813" s="28"/>
      <c r="B1813" s="26"/>
      <c r="C1813" s="27"/>
      <c r="D1813" s="27"/>
      <c r="E1813" s="26"/>
      <c r="F1813" s="26"/>
      <c r="G1813" s="26"/>
    </row>
    <row r="1814">
      <c r="A1814" s="28"/>
      <c r="B1814" s="26"/>
      <c r="C1814" s="27"/>
      <c r="D1814" s="27"/>
      <c r="E1814" s="26"/>
      <c r="F1814" s="26"/>
      <c r="G1814" s="26"/>
    </row>
    <row r="1815">
      <c r="A1815" s="28"/>
      <c r="B1815" s="26"/>
      <c r="C1815" s="27"/>
      <c r="D1815" s="27"/>
      <c r="E1815" s="26"/>
      <c r="F1815" s="26"/>
      <c r="G1815" s="26"/>
    </row>
    <row r="1816">
      <c r="A1816" s="28"/>
      <c r="B1816" s="26"/>
      <c r="C1816" s="27"/>
      <c r="D1816" s="27"/>
      <c r="E1816" s="26"/>
      <c r="F1816" s="26"/>
      <c r="G1816" s="26"/>
    </row>
    <row r="1817">
      <c r="A1817" s="28"/>
      <c r="B1817" s="26"/>
      <c r="C1817" s="27"/>
      <c r="D1817" s="27"/>
      <c r="E1817" s="26"/>
      <c r="F1817" s="26"/>
      <c r="G1817" s="26"/>
    </row>
    <row r="1818">
      <c r="A1818" s="28"/>
      <c r="B1818" s="26"/>
      <c r="C1818" s="27"/>
      <c r="D1818" s="27"/>
      <c r="E1818" s="26"/>
      <c r="F1818" s="26"/>
      <c r="G1818" s="26"/>
    </row>
    <row r="1819">
      <c r="A1819" s="28"/>
      <c r="B1819" s="26"/>
      <c r="C1819" s="27"/>
      <c r="D1819" s="27"/>
      <c r="E1819" s="26"/>
      <c r="F1819" s="26"/>
      <c r="G1819" s="26"/>
    </row>
    <row r="1820">
      <c r="A1820" s="28"/>
      <c r="B1820" s="26"/>
      <c r="C1820" s="27"/>
      <c r="D1820" s="27"/>
      <c r="E1820" s="26"/>
      <c r="F1820" s="26"/>
      <c r="G1820" s="26"/>
    </row>
    <row r="1821">
      <c r="A1821" s="28"/>
      <c r="B1821" s="26"/>
      <c r="C1821" s="27"/>
      <c r="D1821" s="27"/>
      <c r="E1821" s="26"/>
      <c r="F1821" s="26"/>
      <c r="G1821" s="26"/>
    </row>
    <row r="1822">
      <c r="A1822" s="28"/>
      <c r="B1822" s="26"/>
      <c r="C1822" s="27"/>
      <c r="D1822" s="27"/>
      <c r="E1822" s="26"/>
      <c r="F1822" s="26"/>
      <c r="G1822" s="26"/>
    </row>
    <row r="1823">
      <c r="A1823" s="28"/>
      <c r="B1823" s="26"/>
      <c r="C1823" s="27"/>
      <c r="D1823" s="27"/>
      <c r="E1823" s="26"/>
      <c r="F1823" s="26"/>
      <c r="G1823" s="26"/>
    </row>
    <row r="1824">
      <c r="A1824" s="28"/>
      <c r="B1824" s="26"/>
      <c r="C1824" s="27"/>
      <c r="D1824" s="27"/>
      <c r="E1824" s="26"/>
      <c r="F1824" s="26"/>
      <c r="G1824" s="26"/>
    </row>
    <row r="1825">
      <c r="A1825" s="28"/>
      <c r="B1825" s="26"/>
      <c r="C1825" s="27"/>
      <c r="D1825" s="27"/>
      <c r="E1825" s="26"/>
      <c r="F1825" s="26"/>
      <c r="G1825" s="26"/>
    </row>
    <row r="1826">
      <c r="A1826" s="28"/>
      <c r="B1826" s="26"/>
      <c r="C1826" s="27"/>
      <c r="D1826" s="27"/>
      <c r="E1826" s="26"/>
      <c r="F1826" s="26"/>
      <c r="G1826" s="26"/>
    </row>
    <row r="1827">
      <c r="A1827" s="28"/>
      <c r="B1827" s="26"/>
      <c r="C1827" s="27"/>
      <c r="D1827" s="27"/>
      <c r="E1827" s="26"/>
      <c r="F1827" s="26"/>
      <c r="G1827" s="26"/>
    </row>
    <row r="1828">
      <c r="A1828" s="28"/>
      <c r="B1828" s="26"/>
      <c r="C1828" s="27"/>
      <c r="D1828" s="27"/>
      <c r="E1828" s="26"/>
      <c r="F1828" s="26"/>
      <c r="G1828" s="26"/>
    </row>
    <row r="1829">
      <c r="A1829" s="28"/>
      <c r="B1829" s="26"/>
      <c r="C1829" s="27"/>
      <c r="D1829" s="27"/>
      <c r="E1829" s="26"/>
      <c r="F1829" s="26"/>
      <c r="G1829" s="26"/>
    </row>
    <row r="1830">
      <c r="A1830" s="28"/>
      <c r="B1830" s="26"/>
      <c r="C1830" s="27"/>
      <c r="D1830" s="27"/>
      <c r="E1830" s="26"/>
      <c r="F1830" s="26"/>
      <c r="G1830" s="26"/>
    </row>
    <row r="1831">
      <c r="A1831" s="28"/>
      <c r="B1831" s="26"/>
      <c r="C1831" s="27"/>
      <c r="D1831" s="27"/>
      <c r="E1831" s="26"/>
      <c r="F1831" s="26"/>
      <c r="G1831" s="26"/>
    </row>
    <row r="1832">
      <c r="A1832" s="28"/>
      <c r="B1832" s="26"/>
      <c r="C1832" s="27"/>
      <c r="D1832" s="27"/>
      <c r="E1832" s="26"/>
      <c r="F1832" s="26"/>
      <c r="G1832" s="26"/>
    </row>
    <row r="1833">
      <c r="A1833" s="28"/>
      <c r="B1833" s="26"/>
      <c r="C1833" s="27"/>
      <c r="D1833" s="27"/>
      <c r="E1833" s="26"/>
      <c r="F1833" s="26"/>
      <c r="G1833" s="26"/>
    </row>
    <row r="1834">
      <c r="A1834" s="28"/>
      <c r="B1834" s="26"/>
      <c r="C1834" s="27"/>
      <c r="D1834" s="27"/>
      <c r="E1834" s="26"/>
      <c r="F1834" s="26"/>
      <c r="G1834" s="26"/>
    </row>
    <row r="1835">
      <c r="A1835" s="28"/>
      <c r="B1835" s="26"/>
      <c r="C1835" s="27"/>
      <c r="D1835" s="27"/>
      <c r="E1835" s="26"/>
      <c r="F1835" s="26"/>
      <c r="G1835" s="26"/>
    </row>
    <row r="1836">
      <c r="A1836" s="28"/>
      <c r="B1836" s="26"/>
      <c r="C1836" s="27"/>
      <c r="D1836" s="27"/>
      <c r="E1836" s="26"/>
      <c r="F1836" s="26"/>
      <c r="G1836" s="26"/>
    </row>
    <row r="1837">
      <c r="A1837" s="28"/>
      <c r="B1837" s="26"/>
      <c r="C1837" s="27"/>
      <c r="D1837" s="27"/>
      <c r="E1837" s="26"/>
      <c r="F1837" s="26"/>
      <c r="G1837" s="26"/>
    </row>
    <row r="1838">
      <c r="A1838" s="28"/>
      <c r="B1838" s="26"/>
      <c r="C1838" s="27"/>
      <c r="D1838" s="27"/>
      <c r="E1838" s="26"/>
      <c r="F1838" s="26"/>
      <c r="G1838" s="26"/>
    </row>
    <row r="1839">
      <c r="A1839" s="28"/>
      <c r="B1839" s="26"/>
      <c r="C1839" s="27"/>
      <c r="D1839" s="27"/>
      <c r="E1839" s="26"/>
      <c r="F1839" s="26"/>
      <c r="G1839" s="26"/>
    </row>
    <row r="1840">
      <c r="A1840" s="28"/>
      <c r="B1840" s="26"/>
      <c r="C1840" s="27"/>
      <c r="D1840" s="27"/>
      <c r="E1840" s="26"/>
      <c r="F1840" s="26"/>
      <c r="G1840" s="26"/>
    </row>
    <row r="1841">
      <c r="A1841" s="28"/>
      <c r="B1841" s="26"/>
      <c r="C1841" s="27"/>
      <c r="D1841" s="27"/>
      <c r="E1841" s="26"/>
      <c r="F1841" s="26"/>
      <c r="G1841" s="26"/>
    </row>
    <row r="1842">
      <c r="A1842" s="28"/>
      <c r="B1842" s="26"/>
      <c r="C1842" s="27"/>
      <c r="D1842" s="27"/>
      <c r="E1842" s="26"/>
      <c r="F1842" s="26"/>
      <c r="G1842" s="26"/>
    </row>
    <row r="1843">
      <c r="A1843" s="28"/>
      <c r="B1843" s="26"/>
      <c r="C1843" s="27"/>
      <c r="D1843" s="27"/>
      <c r="E1843" s="26"/>
      <c r="F1843" s="26"/>
      <c r="G1843" s="26"/>
    </row>
    <row r="1844">
      <c r="A1844" s="28"/>
      <c r="B1844" s="26"/>
      <c r="C1844" s="27"/>
      <c r="D1844" s="27"/>
      <c r="E1844" s="26"/>
      <c r="F1844" s="26"/>
      <c r="G1844" s="26"/>
    </row>
    <row r="1845">
      <c r="A1845" s="28"/>
      <c r="B1845" s="26"/>
      <c r="C1845" s="27"/>
      <c r="D1845" s="27"/>
      <c r="E1845" s="26"/>
      <c r="F1845" s="26"/>
      <c r="G1845" s="26"/>
    </row>
    <row r="1846">
      <c r="A1846" s="28"/>
      <c r="B1846" s="26"/>
      <c r="C1846" s="27"/>
      <c r="D1846" s="27"/>
      <c r="E1846" s="26"/>
      <c r="F1846" s="26"/>
      <c r="G1846" s="26"/>
    </row>
    <row r="1847">
      <c r="A1847" s="28"/>
      <c r="B1847" s="26"/>
      <c r="C1847" s="27"/>
      <c r="D1847" s="27"/>
      <c r="E1847" s="26"/>
      <c r="F1847" s="26"/>
      <c r="G1847" s="26"/>
    </row>
    <row r="1848">
      <c r="A1848" s="28"/>
      <c r="B1848" s="26"/>
      <c r="C1848" s="27"/>
      <c r="D1848" s="27"/>
      <c r="E1848" s="26"/>
      <c r="F1848" s="26"/>
      <c r="G1848" s="26"/>
    </row>
    <row r="1849">
      <c r="A1849" s="28"/>
      <c r="B1849" s="26"/>
      <c r="C1849" s="27"/>
      <c r="D1849" s="27"/>
      <c r="E1849" s="26"/>
      <c r="F1849" s="26"/>
      <c r="G1849" s="26"/>
    </row>
    <row r="1850">
      <c r="A1850" s="28"/>
      <c r="B1850" s="26"/>
      <c r="C1850" s="27"/>
      <c r="D1850" s="27"/>
      <c r="E1850" s="26"/>
      <c r="F1850" s="26"/>
      <c r="G1850" s="26"/>
    </row>
    <row r="1851">
      <c r="A1851" s="28"/>
      <c r="B1851" s="26"/>
      <c r="C1851" s="27"/>
      <c r="D1851" s="27"/>
      <c r="E1851" s="26"/>
      <c r="F1851" s="26"/>
      <c r="G1851" s="26"/>
    </row>
    <row r="1852">
      <c r="A1852" s="28"/>
      <c r="B1852" s="26"/>
      <c r="C1852" s="27"/>
      <c r="D1852" s="27"/>
      <c r="E1852" s="26"/>
      <c r="F1852" s="26"/>
      <c r="G1852" s="26"/>
    </row>
    <row r="1853">
      <c r="A1853" s="28"/>
      <c r="B1853" s="26"/>
      <c r="C1853" s="27"/>
      <c r="D1853" s="27"/>
      <c r="E1853" s="26"/>
      <c r="F1853" s="26"/>
      <c r="G1853" s="26"/>
    </row>
    <row r="1854">
      <c r="A1854" s="28"/>
      <c r="B1854" s="26"/>
      <c r="C1854" s="27"/>
      <c r="D1854" s="27"/>
      <c r="E1854" s="26"/>
      <c r="F1854" s="26"/>
      <c r="G1854" s="26"/>
    </row>
    <row r="1855">
      <c r="A1855" s="28"/>
      <c r="B1855" s="26"/>
      <c r="C1855" s="27"/>
      <c r="D1855" s="27"/>
      <c r="E1855" s="26"/>
      <c r="F1855" s="26"/>
      <c r="G1855" s="26"/>
    </row>
    <row r="1856">
      <c r="A1856" s="28"/>
      <c r="B1856" s="26"/>
      <c r="C1856" s="27"/>
      <c r="D1856" s="27"/>
      <c r="E1856" s="26"/>
      <c r="F1856" s="26"/>
      <c r="G1856" s="26"/>
    </row>
    <row r="1857">
      <c r="A1857" s="28"/>
      <c r="B1857" s="26"/>
      <c r="C1857" s="27"/>
      <c r="D1857" s="27"/>
      <c r="E1857" s="26"/>
      <c r="F1857" s="26"/>
      <c r="G1857" s="26"/>
    </row>
    <row r="1858">
      <c r="A1858" s="28"/>
      <c r="B1858" s="26"/>
      <c r="C1858" s="27"/>
      <c r="D1858" s="27"/>
      <c r="E1858" s="26"/>
      <c r="F1858" s="26"/>
      <c r="G1858" s="26"/>
    </row>
    <row r="1859">
      <c r="A1859" s="28"/>
      <c r="B1859" s="26"/>
      <c r="C1859" s="27"/>
      <c r="D1859" s="27"/>
      <c r="E1859" s="26"/>
      <c r="F1859" s="26"/>
      <c r="G1859" s="26"/>
    </row>
    <row r="1860">
      <c r="A1860" s="28"/>
      <c r="B1860" s="26"/>
      <c r="C1860" s="27"/>
      <c r="D1860" s="27"/>
      <c r="E1860" s="26"/>
      <c r="F1860" s="26"/>
      <c r="G1860" s="26"/>
    </row>
    <row r="1861">
      <c r="A1861" s="28"/>
      <c r="B1861" s="26"/>
      <c r="C1861" s="27"/>
      <c r="D1861" s="27"/>
      <c r="E1861" s="26"/>
      <c r="F1861" s="26"/>
      <c r="G1861" s="26"/>
    </row>
    <row r="1862">
      <c r="A1862" s="28"/>
      <c r="B1862" s="26"/>
      <c r="C1862" s="27"/>
      <c r="D1862" s="27"/>
      <c r="E1862" s="26"/>
      <c r="F1862" s="26"/>
      <c r="G1862" s="26"/>
    </row>
    <row r="1863">
      <c r="A1863" s="28"/>
      <c r="B1863" s="26"/>
      <c r="C1863" s="27"/>
      <c r="D1863" s="27"/>
      <c r="E1863" s="26"/>
      <c r="F1863" s="26"/>
      <c r="G1863" s="26"/>
    </row>
    <row r="1864">
      <c r="A1864" s="28"/>
      <c r="B1864" s="26"/>
      <c r="C1864" s="27"/>
      <c r="D1864" s="27"/>
      <c r="E1864" s="26"/>
      <c r="F1864" s="26"/>
      <c r="G1864" s="26"/>
    </row>
    <row r="1865">
      <c r="A1865" s="28"/>
      <c r="B1865" s="26"/>
      <c r="C1865" s="27"/>
      <c r="D1865" s="27"/>
      <c r="E1865" s="26"/>
      <c r="F1865" s="26"/>
      <c r="G1865" s="26"/>
    </row>
    <row r="1866">
      <c r="A1866" s="28"/>
      <c r="B1866" s="26"/>
      <c r="C1866" s="27"/>
      <c r="D1866" s="27"/>
      <c r="E1866" s="26"/>
      <c r="F1866" s="26"/>
      <c r="G1866" s="26"/>
    </row>
    <row r="1867">
      <c r="A1867" s="28"/>
      <c r="B1867" s="26"/>
      <c r="C1867" s="27"/>
      <c r="D1867" s="27"/>
      <c r="E1867" s="26"/>
      <c r="F1867" s="26"/>
      <c r="G1867" s="26"/>
    </row>
    <row r="1868">
      <c r="A1868" s="28"/>
      <c r="B1868" s="26"/>
      <c r="C1868" s="27"/>
      <c r="D1868" s="27"/>
      <c r="E1868" s="26"/>
      <c r="F1868" s="26"/>
      <c r="G1868" s="26"/>
    </row>
    <row r="1869">
      <c r="A1869" s="28"/>
      <c r="B1869" s="26"/>
      <c r="C1869" s="27"/>
      <c r="D1869" s="27"/>
      <c r="E1869" s="26"/>
      <c r="F1869" s="26"/>
      <c r="G1869" s="26"/>
    </row>
    <row r="1870">
      <c r="A1870" s="28"/>
      <c r="B1870" s="26"/>
      <c r="C1870" s="27"/>
      <c r="D1870" s="27"/>
      <c r="E1870" s="26"/>
      <c r="F1870" s="26"/>
      <c r="G1870" s="26"/>
    </row>
    <row r="1871">
      <c r="A1871" s="28"/>
      <c r="B1871" s="26"/>
      <c r="C1871" s="27"/>
      <c r="D1871" s="27"/>
      <c r="E1871" s="26"/>
      <c r="F1871" s="26"/>
      <c r="G1871" s="26"/>
    </row>
    <row r="1872">
      <c r="A1872" s="28"/>
      <c r="B1872" s="26"/>
      <c r="C1872" s="27"/>
      <c r="D1872" s="27"/>
      <c r="E1872" s="26"/>
      <c r="F1872" s="26"/>
      <c r="G1872" s="26"/>
    </row>
    <row r="1873">
      <c r="A1873" s="28"/>
      <c r="B1873" s="26"/>
      <c r="C1873" s="27"/>
      <c r="D1873" s="27"/>
      <c r="E1873" s="26"/>
      <c r="F1873" s="26"/>
      <c r="G1873" s="26"/>
    </row>
    <row r="1874">
      <c r="A1874" s="28"/>
      <c r="B1874" s="26"/>
      <c r="C1874" s="27"/>
      <c r="D1874" s="27"/>
      <c r="E1874" s="26"/>
      <c r="F1874" s="26"/>
      <c r="G1874" s="26"/>
    </row>
    <row r="1875">
      <c r="A1875" s="28"/>
      <c r="B1875" s="26"/>
      <c r="C1875" s="27"/>
      <c r="D1875" s="27"/>
      <c r="E1875" s="26"/>
      <c r="F1875" s="26"/>
      <c r="G1875" s="26"/>
    </row>
    <row r="1876">
      <c r="A1876" s="28"/>
      <c r="B1876" s="26"/>
      <c r="C1876" s="27"/>
      <c r="D1876" s="27"/>
      <c r="E1876" s="26"/>
      <c r="F1876" s="26"/>
      <c r="G1876" s="26"/>
    </row>
    <row r="1877">
      <c r="A1877" s="28"/>
      <c r="B1877" s="26"/>
      <c r="C1877" s="27"/>
      <c r="D1877" s="27"/>
      <c r="E1877" s="26"/>
      <c r="F1877" s="26"/>
      <c r="G1877" s="26"/>
    </row>
    <row r="1878">
      <c r="A1878" s="28"/>
      <c r="B1878" s="26"/>
      <c r="C1878" s="27"/>
      <c r="D1878" s="27"/>
      <c r="E1878" s="26"/>
      <c r="F1878" s="26"/>
      <c r="G1878" s="26"/>
    </row>
    <row r="1879">
      <c r="A1879" s="28"/>
      <c r="B1879" s="26"/>
      <c r="C1879" s="27"/>
      <c r="D1879" s="27"/>
      <c r="E1879" s="26"/>
      <c r="F1879" s="26"/>
      <c r="G1879" s="26"/>
    </row>
    <row r="1880">
      <c r="A1880" s="28"/>
      <c r="B1880" s="26"/>
      <c r="C1880" s="27"/>
      <c r="D1880" s="27"/>
      <c r="E1880" s="26"/>
      <c r="F1880" s="26"/>
      <c r="G1880" s="26"/>
    </row>
    <row r="1881">
      <c r="A1881" s="28"/>
      <c r="B1881" s="26"/>
      <c r="C1881" s="27"/>
      <c r="D1881" s="27"/>
      <c r="E1881" s="26"/>
      <c r="F1881" s="26"/>
      <c r="G1881" s="26"/>
    </row>
    <row r="1882">
      <c r="A1882" s="28"/>
      <c r="B1882" s="26"/>
      <c r="C1882" s="27"/>
      <c r="D1882" s="27"/>
      <c r="E1882" s="26"/>
      <c r="F1882" s="26"/>
      <c r="G1882" s="26"/>
    </row>
    <row r="1883">
      <c r="A1883" s="28"/>
      <c r="B1883" s="26"/>
      <c r="C1883" s="27"/>
      <c r="D1883" s="27"/>
      <c r="E1883" s="26"/>
      <c r="F1883" s="26"/>
      <c r="G1883" s="26"/>
    </row>
    <row r="1884">
      <c r="A1884" s="28"/>
      <c r="B1884" s="26"/>
      <c r="C1884" s="27"/>
      <c r="D1884" s="27"/>
      <c r="E1884" s="26"/>
      <c r="F1884" s="26"/>
      <c r="G1884" s="26"/>
    </row>
    <row r="1885">
      <c r="A1885" s="28"/>
      <c r="B1885" s="26"/>
      <c r="C1885" s="27"/>
      <c r="D1885" s="27"/>
      <c r="E1885" s="26"/>
      <c r="F1885" s="26"/>
      <c r="G1885" s="26"/>
    </row>
    <row r="1886">
      <c r="A1886" s="28"/>
      <c r="B1886" s="26"/>
      <c r="C1886" s="27"/>
      <c r="D1886" s="27"/>
      <c r="E1886" s="26"/>
      <c r="F1886" s="26"/>
      <c r="G1886" s="26"/>
    </row>
    <row r="1887">
      <c r="A1887" s="28"/>
      <c r="B1887" s="26"/>
      <c r="C1887" s="27"/>
      <c r="D1887" s="27"/>
      <c r="E1887" s="26"/>
      <c r="F1887" s="26"/>
      <c r="G1887" s="26"/>
    </row>
    <row r="1888">
      <c r="A1888" s="28"/>
      <c r="B1888" s="26"/>
      <c r="C1888" s="27"/>
      <c r="D1888" s="27"/>
      <c r="E1888" s="26"/>
      <c r="F1888" s="26"/>
      <c r="G1888" s="26"/>
    </row>
    <row r="1889">
      <c r="A1889" s="28"/>
      <c r="B1889" s="26"/>
      <c r="C1889" s="27"/>
      <c r="D1889" s="27"/>
      <c r="E1889" s="26"/>
      <c r="F1889" s="26"/>
      <c r="G1889" s="26"/>
    </row>
    <row r="1890">
      <c r="A1890" s="28"/>
      <c r="B1890" s="26"/>
      <c r="C1890" s="27"/>
      <c r="D1890" s="27"/>
      <c r="E1890" s="26"/>
      <c r="F1890" s="26"/>
      <c r="G1890" s="26"/>
    </row>
    <row r="1891">
      <c r="A1891" s="28"/>
      <c r="B1891" s="26"/>
      <c r="C1891" s="27"/>
      <c r="D1891" s="27"/>
      <c r="E1891" s="26"/>
      <c r="F1891" s="26"/>
      <c r="G1891" s="26"/>
    </row>
    <row r="1892">
      <c r="A1892" s="28"/>
      <c r="B1892" s="26"/>
      <c r="C1892" s="27"/>
      <c r="D1892" s="27"/>
      <c r="E1892" s="26"/>
      <c r="F1892" s="26"/>
      <c r="G1892" s="26"/>
    </row>
    <row r="1893">
      <c r="A1893" s="28"/>
      <c r="B1893" s="26"/>
      <c r="C1893" s="27"/>
      <c r="D1893" s="27"/>
      <c r="E1893" s="26"/>
      <c r="F1893" s="26"/>
      <c r="G1893" s="26"/>
    </row>
    <row r="1894">
      <c r="A1894" s="28"/>
      <c r="B1894" s="26"/>
      <c r="C1894" s="27"/>
      <c r="D1894" s="27"/>
      <c r="E1894" s="26"/>
      <c r="F1894" s="26"/>
      <c r="G1894" s="26"/>
    </row>
    <row r="1895">
      <c r="A1895" s="28"/>
      <c r="B1895" s="26"/>
      <c r="C1895" s="27"/>
      <c r="D1895" s="27"/>
      <c r="E1895" s="26"/>
      <c r="F1895" s="26"/>
      <c r="G1895" s="26"/>
    </row>
    <row r="1896">
      <c r="A1896" s="28"/>
      <c r="B1896" s="26"/>
      <c r="C1896" s="27"/>
      <c r="D1896" s="27"/>
      <c r="E1896" s="26"/>
      <c r="F1896" s="26"/>
      <c r="G1896" s="26"/>
    </row>
    <row r="1897">
      <c r="A1897" s="28"/>
      <c r="B1897" s="26"/>
      <c r="C1897" s="27"/>
      <c r="D1897" s="27"/>
      <c r="E1897" s="26"/>
      <c r="F1897" s="26"/>
      <c r="G1897" s="26"/>
    </row>
    <row r="1898">
      <c r="A1898" s="28"/>
      <c r="B1898" s="26"/>
      <c r="C1898" s="27"/>
      <c r="D1898" s="27"/>
      <c r="E1898" s="26"/>
      <c r="F1898" s="26"/>
      <c r="G1898" s="26"/>
    </row>
    <row r="1899">
      <c r="A1899" s="28"/>
      <c r="B1899" s="26"/>
      <c r="C1899" s="27"/>
      <c r="D1899" s="27"/>
      <c r="E1899" s="26"/>
      <c r="F1899" s="26"/>
      <c r="G1899" s="26"/>
    </row>
    <row r="1900">
      <c r="A1900" s="28"/>
      <c r="B1900" s="26"/>
      <c r="C1900" s="27"/>
      <c r="D1900" s="27"/>
      <c r="E1900" s="26"/>
      <c r="F1900" s="26"/>
      <c r="G1900" s="26"/>
    </row>
    <row r="1901">
      <c r="A1901" s="28"/>
      <c r="B1901" s="26"/>
      <c r="C1901" s="27"/>
      <c r="D1901" s="27"/>
      <c r="E1901" s="26"/>
      <c r="F1901" s="26"/>
      <c r="G1901" s="26"/>
    </row>
    <row r="1902">
      <c r="A1902" s="28"/>
      <c r="B1902" s="26"/>
      <c r="C1902" s="27"/>
      <c r="D1902" s="27"/>
      <c r="E1902" s="26"/>
      <c r="F1902" s="26"/>
      <c r="G1902" s="26"/>
    </row>
    <row r="1903">
      <c r="A1903" s="28"/>
      <c r="B1903" s="26"/>
      <c r="C1903" s="27"/>
      <c r="D1903" s="27"/>
      <c r="E1903" s="26"/>
      <c r="F1903" s="26"/>
      <c r="G1903" s="26"/>
    </row>
    <row r="1904">
      <c r="A1904" s="28"/>
      <c r="B1904" s="26"/>
      <c r="C1904" s="27"/>
      <c r="D1904" s="27"/>
      <c r="E1904" s="26"/>
      <c r="F1904" s="26"/>
      <c r="G1904" s="26"/>
    </row>
    <row r="1905">
      <c r="A1905" s="28"/>
      <c r="B1905" s="26"/>
      <c r="C1905" s="27"/>
      <c r="D1905" s="27"/>
      <c r="E1905" s="26"/>
      <c r="F1905" s="26"/>
      <c r="G1905" s="26"/>
    </row>
    <row r="1906">
      <c r="A1906" s="28"/>
      <c r="B1906" s="26"/>
      <c r="C1906" s="27"/>
      <c r="D1906" s="27"/>
      <c r="E1906" s="26"/>
      <c r="F1906" s="26"/>
      <c r="G1906" s="26"/>
    </row>
    <row r="1907">
      <c r="A1907" s="28"/>
      <c r="B1907" s="26"/>
      <c r="C1907" s="27"/>
      <c r="D1907" s="27"/>
      <c r="E1907" s="26"/>
      <c r="F1907" s="26"/>
      <c r="G1907" s="26"/>
    </row>
    <row r="1908">
      <c r="A1908" s="28"/>
      <c r="B1908" s="26"/>
      <c r="C1908" s="27"/>
      <c r="D1908" s="27"/>
      <c r="E1908" s="26"/>
      <c r="F1908" s="26"/>
      <c r="G1908" s="26"/>
    </row>
    <row r="1909">
      <c r="A1909" s="28"/>
      <c r="B1909" s="26"/>
      <c r="C1909" s="27"/>
      <c r="D1909" s="27"/>
      <c r="E1909" s="26"/>
      <c r="F1909" s="26"/>
      <c r="G1909" s="26"/>
    </row>
    <row r="1910">
      <c r="A1910" s="28"/>
      <c r="B1910" s="26"/>
      <c r="C1910" s="27"/>
      <c r="D1910" s="27"/>
      <c r="E1910" s="26"/>
      <c r="F1910" s="26"/>
      <c r="G1910" s="26"/>
    </row>
    <row r="1911">
      <c r="A1911" s="28"/>
      <c r="B1911" s="26"/>
      <c r="C1911" s="27"/>
      <c r="D1911" s="27"/>
      <c r="E1911" s="26"/>
      <c r="F1911" s="26"/>
      <c r="G1911" s="26"/>
    </row>
    <row r="1912">
      <c r="A1912" s="28"/>
      <c r="B1912" s="26"/>
      <c r="C1912" s="27"/>
      <c r="D1912" s="27"/>
      <c r="E1912" s="26"/>
      <c r="F1912" s="26"/>
      <c r="G1912" s="26"/>
    </row>
    <row r="1913">
      <c r="A1913" s="28"/>
      <c r="B1913" s="26"/>
      <c r="C1913" s="27"/>
      <c r="D1913" s="27"/>
      <c r="E1913" s="26"/>
      <c r="F1913" s="26"/>
      <c r="G1913" s="26"/>
    </row>
    <row r="1914">
      <c r="A1914" s="28"/>
      <c r="B1914" s="26"/>
      <c r="C1914" s="27"/>
      <c r="D1914" s="27"/>
      <c r="E1914" s="26"/>
      <c r="F1914" s="26"/>
      <c r="G1914" s="26"/>
    </row>
    <row r="1915">
      <c r="A1915" s="28"/>
      <c r="B1915" s="26"/>
      <c r="C1915" s="27"/>
      <c r="D1915" s="27"/>
      <c r="E1915" s="26"/>
      <c r="F1915" s="26"/>
      <c r="G1915" s="26"/>
    </row>
    <row r="1916">
      <c r="A1916" s="28"/>
      <c r="B1916" s="26"/>
      <c r="C1916" s="27"/>
      <c r="D1916" s="27"/>
      <c r="E1916" s="26"/>
      <c r="F1916" s="26"/>
      <c r="G1916" s="26"/>
    </row>
    <row r="1917">
      <c r="A1917" s="28"/>
      <c r="B1917" s="26"/>
      <c r="C1917" s="27"/>
      <c r="D1917" s="27"/>
      <c r="E1917" s="26"/>
      <c r="F1917" s="26"/>
      <c r="G1917" s="26"/>
    </row>
    <row r="1918">
      <c r="A1918" s="28"/>
      <c r="B1918" s="26"/>
      <c r="C1918" s="27"/>
      <c r="D1918" s="27"/>
      <c r="E1918" s="26"/>
      <c r="F1918" s="26"/>
      <c r="G1918" s="26"/>
    </row>
    <row r="1919">
      <c r="A1919" s="28"/>
      <c r="B1919" s="26"/>
      <c r="C1919" s="27"/>
      <c r="D1919" s="27"/>
      <c r="E1919" s="26"/>
      <c r="F1919" s="26"/>
      <c r="G1919" s="26"/>
    </row>
    <row r="1920">
      <c r="A1920" s="28"/>
      <c r="B1920" s="26"/>
      <c r="C1920" s="27"/>
      <c r="D1920" s="27"/>
      <c r="E1920" s="26"/>
      <c r="F1920" s="26"/>
      <c r="G1920" s="26"/>
    </row>
    <row r="1921">
      <c r="A1921" s="28"/>
      <c r="B1921" s="26"/>
      <c r="C1921" s="27"/>
      <c r="D1921" s="27"/>
      <c r="E1921" s="26"/>
      <c r="F1921" s="26"/>
      <c r="G1921" s="26"/>
    </row>
    <row r="1922">
      <c r="A1922" s="28"/>
      <c r="B1922" s="26"/>
      <c r="C1922" s="27"/>
      <c r="D1922" s="27"/>
      <c r="E1922" s="26"/>
      <c r="F1922" s="26"/>
      <c r="G1922" s="26"/>
    </row>
    <row r="1923">
      <c r="A1923" s="28"/>
      <c r="B1923" s="26"/>
      <c r="C1923" s="27"/>
      <c r="D1923" s="27"/>
      <c r="E1923" s="26"/>
      <c r="F1923" s="26"/>
      <c r="G1923" s="26"/>
    </row>
    <row r="1924">
      <c r="A1924" s="28"/>
      <c r="B1924" s="26"/>
      <c r="C1924" s="27"/>
      <c r="D1924" s="27"/>
      <c r="E1924" s="26"/>
      <c r="F1924" s="26"/>
      <c r="G1924" s="26"/>
    </row>
    <row r="1925">
      <c r="A1925" s="28"/>
      <c r="B1925" s="26"/>
      <c r="C1925" s="27"/>
      <c r="D1925" s="27"/>
      <c r="E1925" s="26"/>
      <c r="F1925" s="26"/>
      <c r="G1925" s="26"/>
    </row>
    <row r="1926">
      <c r="A1926" s="28"/>
      <c r="B1926" s="26"/>
      <c r="C1926" s="27"/>
      <c r="D1926" s="27"/>
      <c r="E1926" s="26"/>
      <c r="F1926" s="26"/>
      <c r="G1926" s="26"/>
    </row>
    <row r="1927">
      <c r="A1927" s="28"/>
      <c r="B1927" s="26"/>
      <c r="C1927" s="27"/>
      <c r="D1927" s="27"/>
      <c r="E1927" s="26"/>
      <c r="F1927" s="26"/>
      <c r="G1927" s="26"/>
    </row>
    <row r="1928">
      <c r="A1928" s="28"/>
      <c r="B1928" s="26"/>
      <c r="C1928" s="27"/>
      <c r="D1928" s="27"/>
      <c r="E1928" s="26"/>
      <c r="F1928" s="26"/>
      <c r="G1928" s="26"/>
    </row>
    <row r="1929">
      <c r="A1929" s="28"/>
      <c r="B1929" s="26"/>
      <c r="C1929" s="27"/>
      <c r="D1929" s="27"/>
      <c r="E1929" s="26"/>
      <c r="F1929" s="26"/>
      <c r="G1929" s="26"/>
    </row>
    <row r="1930">
      <c r="A1930" s="28"/>
      <c r="B1930" s="26"/>
      <c r="C1930" s="27"/>
      <c r="D1930" s="27"/>
      <c r="E1930" s="26"/>
      <c r="F1930" s="26"/>
      <c r="G1930" s="26"/>
    </row>
    <row r="1931">
      <c r="A1931" s="28"/>
      <c r="B1931" s="26"/>
      <c r="C1931" s="27"/>
      <c r="D1931" s="27"/>
      <c r="E1931" s="26"/>
      <c r="F1931" s="26"/>
      <c r="G1931" s="26"/>
    </row>
    <row r="1932">
      <c r="A1932" s="28"/>
      <c r="B1932" s="26"/>
      <c r="C1932" s="27"/>
      <c r="D1932" s="27"/>
      <c r="E1932" s="26"/>
      <c r="F1932" s="26"/>
      <c r="G1932" s="26"/>
    </row>
    <row r="1933">
      <c r="A1933" s="28"/>
      <c r="B1933" s="26"/>
      <c r="C1933" s="27"/>
      <c r="D1933" s="27"/>
      <c r="E1933" s="26"/>
      <c r="F1933" s="26"/>
      <c r="G1933" s="26"/>
    </row>
    <row r="1934">
      <c r="A1934" s="28"/>
      <c r="B1934" s="26"/>
      <c r="C1934" s="27"/>
      <c r="D1934" s="27"/>
      <c r="E1934" s="26"/>
      <c r="F1934" s="26"/>
      <c r="G1934" s="26"/>
    </row>
    <row r="1935">
      <c r="A1935" s="28"/>
      <c r="B1935" s="26"/>
      <c r="C1935" s="27"/>
      <c r="D1935" s="27"/>
      <c r="E1935" s="26"/>
      <c r="F1935" s="26"/>
      <c r="G1935" s="26"/>
    </row>
    <row r="1936">
      <c r="A1936" s="28"/>
      <c r="B1936" s="26"/>
      <c r="C1936" s="27"/>
      <c r="D1936" s="27"/>
      <c r="E1936" s="26"/>
      <c r="F1936" s="26"/>
      <c r="G1936" s="26"/>
    </row>
    <row r="1937">
      <c r="A1937" s="28"/>
      <c r="B1937" s="26"/>
      <c r="C1937" s="27"/>
      <c r="D1937" s="27"/>
      <c r="E1937" s="26"/>
      <c r="F1937" s="26"/>
      <c r="G1937" s="26"/>
    </row>
    <row r="1938">
      <c r="A1938" s="28"/>
      <c r="B1938" s="26"/>
      <c r="C1938" s="27"/>
      <c r="D1938" s="27"/>
      <c r="E1938" s="26"/>
      <c r="F1938" s="26"/>
      <c r="G1938" s="26"/>
    </row>
    <row r="1939">
      <c r="A1939" s="28"/>
      <c r="B1939" s="26"/>
      <c r="C1939" s="27"/>
      <c r="D1939" s="27"/>
      <c r="E1939" s="26"/>
      <c r="F1939" s="26"/>
      <c r="G1939" s="26"/>
    </row>
    <row r="1940">
      <c r="A1940" s="28"/>
      <c r="B1940" s="26"/>
      <c r="C1940" s="27"/>
      <c r="D1940" s="27"/>
      <c r="E1940" s="26"/>
      <c r="F1940" s="26"/>
      <c r="G1940" s="26"/>
    </row>
    <row r="1941">
      <c r="A1941" s="28"/>
      <c r="B1941" s="26"/>
      <c r="C1941" s="27"/>
      <c r="D1941" s="27"/>
      <c r="E1941" s="26"/>
      <c r="F1941" s="26"/>
      <c r="G1941" s="26"/>
    </row>
    <row r="1942">
      <c r="A1942" s="28"/>
      <c r="B1942" s="26"/>
      <c r="C1942" s="27"/>
      <c r="D1942" s="27"/>
      <c r="E1942" s="26"/>
      <c r="F1942" s="26"/>
      <c r="G1942" s="26"/>
    </row>
    <row r="1943">
      <c r="A1943" s="28"/>
      <c r="B1943" s="26"/>
      <c r="C1943" s="27"/>
      <c r="D1943" s="27"/>
      <c r="E1943" s="26"/>
      <c r="F1943" s="26"/>
      <c r="G1943" s="26"/>
    </row>
    <row r="1944">
      <c r="A1944" s="28"/>
      <c r="B1944" s="26"/>
      <c r="C1944" s="27"/>
      <c r="D1944" s="27"/>
      <c r="E1944" s="26"/>
      <c r="F1944" s="26"/>
      <c r="G1944" s="26"/>
    </row>
    <row r="1945">
      <c r="A1945" s="28"/>
      <c r="B1945" s="26"/>
      <c r="C1945" s="27"/>
      <c r="D1945" s="27"/>
      <c r="E1945" s="26"/>
      <c r="F1945" s="26"/>
      <c r="G1945" s="26"/>
    </row>
    <row r="1946">
      <c r="A1946" s="28"/>
      <c r="B1946" s="26"/>
      <c r="C1946" s="27"/>
      <c r="D1946" s="27"/>
      <c r="E1946" s="26"/>
      <c r="F1946" s="26"/>
      <c r="G1946" s="26"/>
    </row>
    <row r="1947">
      <c r="A1947" s="28"/>
      <c r="B1947" s="26"/>
      <c r="C1947" s="27"/>
      <c r="D1947" s="27"/>
      <c r="E1947" s="26"/>
      <c r="F1947" s="26"/>
      <c r="G1947" s="26"/>
    </row>
    <row r="1948">
      <c r="A1948" s="28"/>
      <c r="B1948" s="26"/>
      <c r="C1948" s="27"/>
      <c r="D1948" s="27"/>
      <c r="E1948" s="26"/>
      <c r="F1948" s="26"/>
      <c r="G1948" s="26"/>
    </row>
    <row r="1949">
      <c r="A1949" s="28"/>
      <c r="B1949" s="26"/>
      <c r="C1949" s="27"/>
      <c r="D1949" s="27"/>
      <c r="E1949" s="26"/>
      <c r="F1949" s="26"/>
      <c r="G1949" s="26"/>
    </row>
    <row r="1950">
      <c r="A1950" s="28"/>
      <c r="B1950" s="26"/>
      <c r="C1950" s="27"/>
      <c r="D1950" s="27"/>
      <c r="E1950" s="26"/>
      <c r="F1950" s="26"/>
      <c r="G1950" s="26"/>
    </row>
    <row r="1951">
      <c r="A1951" s="28"/>
      <c r="B1951" s="26"/>
      <c r="C1951" s="27"/>
      <c r="D1951" s="27"/>
      <c r="E1951" s="26"/>
      <c r="F1951" s="26"/>
      <c r="G1951" s="26"/>
    </row>
    <row r="1952">
      <c r="A1952" s="28"/>
      <c r="B1952" s="26"/>
      <c r="C1952" s="27"/>
      <c r="D1952" s="27"/>
      <c r="E1952" s="26"/>
      <c r="F1952" s="26"/>
      <c r="G1952" s="26"/>
    </row>
    <row r="1953">
      <c r="A1953" s="28"/>
      <c r="B1953" s="26"/>
      <c r="C1953" s="27"/>
      <c r="D1953" s="27"/>
      <c r="E1953" s="26"/>
      <c r="F1953" s="26"/>
      <c r="G1953" s="26"/>
    </row>
    <row r="1954">
      <c r="A1954" s="28"/>
      <c r="B1954" s="26"/>
      <c r="C1954" s="27"/>
      <c r="D1954" s="27"/>
      <c r="E1954" s="26"/>
      <c r="F1954" s="26"/>
      <c r="G1954" s="26"/>
    </row>
    <row r="1955">
      <c r="A1955" s="28"/>
      <c r="B1955" s="26"/>
      <c r="C1955" s="27"/>
      <c r="D1955" s="27"/>
      <c r="E1955" s="26"/>
      <c r="F1955" s="26"/>
      <c r="G1955" s="26"/>
    </row>
    <row r="1956">
      <c r="A1956" s="28"/>
      <c r="B1956" s="26"/>
      <c r="C1956" s="27"/>
      <c r="D1956" s="27"/>
      <c r="E1956" s="26"/>
      <c r="F1956" s="26"/>
      <c r="G1956" s="26"/>
    </row>
    <row r="1957">
      <c r="A1957" s="28"/>
      <c r="B1957" s="26"/>
      <c r="C1957" s="27"/>
      <c r="D1957" s="27"/>
      <c r="E1957" s="26"/>
      <c r="F1957" s="26"/>
      <c r="G1957" s="26"/>
    </row>
    <row r="1958">
      <c r="A1958" s="28"/>
      <c r="B1958" s="26"/>
      <c r="C1958" s="27"/>
      <c r="D1958" s="27"/>
      <c r="E1958" s="26"/>
      <c r="F1958" s="26"/>
      <c r="G1958" s="26"/>
    </row>
    <row r="1959">
      <c r="A1959" s="28"/>
      <c r="B1959" s="26"/>
      <c r="C1959" s="27"/>
      <c r="D1959" s="27"/>
      <c r="E1959" s="26"/>
      <c r="F1959" s="26"/>
      <c r="G1959" s="26"/>
    </row>
    <row r="1960">
      <c r="A1960" s="28"/>
      <c r="B1960" s="26"/>
      <c r="C1960" s="27"/>
      <c r="D1960" s="27"/>
      <c r="E1960" s="26"/>
      <c r="F1960" s="26"/>
      <c r="G1960" s="26"/>
    </row>
    <row r="1961">
      <c r="A1961" s="28"/>
      <c r="B1961" s="26"/>
      <c r="C1961" s="27"/>
      <c r="D1961" s="27"/>
      <c r="E1961" s="26"/>
      <c r="F1961" s="26"/>
      <c r="G1961" s="26"/>
    </row>
    <row r="1962">
      <c r="A1962" s="28"/>
      <c r="B1962" s="26"/>
      <c r="C1962" s="27"/>
      <c r="D1962" s="27"/>
      <c r="E1962" s="26"/>
      <c r="F1962" s="26"/>
      <c r="G1962" s="26"/>
    </row>
    <row r="1963">
      <c r="A1963" s="28"/>
      <c r="B1963" s="26"/>
      <c r="C1963" s="27"/>
      <c r="D1963" s="27"/>
      <c r="E1963" s="26"/>
      <c r="F1963" s="26"/>
      <c r="G1963" s="26"/>
    </row>
    <row r="1964">
      <c r="A1964" s="28"/>
      <c r="B1964" s="26"/>
      <c r="C1964" s="27"/>
      <c r="D1964" s="27"/>
      <c r="E1964" s="26"/>
      <c r="F1964" s="26"/>
      <c r="G1964" s="26"/>
    </row>
    <row r="1965">
      <c r="A1965" s="28"/>
      <c r="B1965" s="26"/>
      <c r="C1965" s="27"/>
      <c r="D1965" s="27"/>
      <c r="E1965" s="26"/>
      <c r="F1965" s="26"/>
      <c r="G1965" s="26"/>
    </row>
    <row r="1966">
      <c r="A1966" s="28"/>
      <c r="B1966" s="26"/>
      <c r="C1966" s="27"/>
      <c r="D1966" s="27"/>
      <c r="E1966" s="26"/>
      <c r="F1966" s="26"/>
      <c r="G1966" s="26"/>
    </row>
    <row r="1967">
      <c r="A1967" s="28"/>
      <c r="B1967" s="26"/>
      <c r="C1967" s="27"/>
      <c r="D1967" s="27"/>
      <c r="E1967" s="26"/>
      <c r="F1967" s="26"/>
      <c r="G1967" s="26"/>
    </row>
    <row r="1968">
      <c r="A1968" s="28"/>
      <c r="B1968" s="26"/>
      <c r="C1968" s="27"/>
      <c r="D1968" s="27"/>
      <c r="E1968" s="26"/>
      <c r="F1968" s="26"/>
      <c r="G1968" s="26"/>
    </row>
    <row r="1969">
      <c r="A1969" s="28"/>
      <c r="B1969" s="26"/>
      <c r="C1969" s="27"/>
      <c r="D1969" s="27"/>
      <c r="E1969" s="26"/>
      <c r="F1969" s="26"/>
      <c r="G1969" s="26"/>
    </row>
    <row r="1970">
      <c r="A1970" s="28"/>
      <c r="B1970" s="26"/>
      <c r="C1970" s="27"/>
      <c r="D1970" s="27"/>
      <c r="E1970" s="26"/>
      <c r="F1970" s="26"/>
      <c r="G1970" s="26"/>
    </row>
    <row r="1971">
      <c r="A1971" s="28"/>
      <c r="B1971" s="26"/>
      <c r="C1971" s="27"/>
      <c r="D1971" s="27"/>
      <c r="E1971" s="26"/>
      <c r="F1971" s="26"/>
      <c r="G1971" s="26"/>
    </row>
    <row r="1972">
      <c r="A1972" s="28"/>
      <c r="B1972" s="26"/>
      <c r="C1972" s="27"/>
      <c r="D1972" s="27"/>
      <c r="E1972" s="26"/>
      <c r="F1972" s="26"/>
      <c r="G1972" s="26"/>
    </row>
    <row r="1973">
      <c r="A1973" s="28"/>
      <c r="B1973" s="26"/>
      <c r="C1973" s="27"/>
      <c r="D1973" s="27"/>
      <c r="E1973" s="26"/>
      <c r="F1973" s="26"/>
      <c r="G1973" s="26"/>
    </row>
    <row r="1974">
      <c r="A1974" s="28"/>
      <c r="B1974" s="26"/>
      <c r="C1974" s="27"/>
      <c r="D1974" s="27"/>
      <c r="E1974" s="26"/>
      <c r="F1974" s="26"/>
      <c r="G1974" s="26"/>
    </row>
    <row r="1975">
      <c r="A1975" s="28"/>
      <c r="B1975" s="26"/>
      <c r="C1975" s="27"/>
      <c r="D1975" s="27"/>
      <c r="E1975" s="26"/>
      <c r="F1975" s="26"/>
      <c r="G1975" s="26"/>
    </row>
    <row r="1976">
      <c r="A1976" s="28"/>
      <c r="B1976" s="26"/>
      <c r="C1976" s="27"/>
      <c r="D1976" s="27"/>
      <c r="E1976" s="26"/>
      <c r="F1976" s="26"/>
      <c r="G1976" s="26"/>
    </row>
    <row r="1977">
      <c r="A1977" s="28"/>
      <c r="B1977" s="26"/>
      <c r="C1977" s="27"/>
      <c r="D1977" s="27"/>
      <c r="E1977" s="26"/>
      <c r="F1977" s="26"/>
      <c r="G1977" s="26"/>
    </row>
    <row r="1978">
      <c r="A1978" s="28"/>
      <c r="B1978" s="26"/>
      <c r="C1978" s="27"/>
      <c r="D1978" s="27"/>
      <c r="E1978" s="26"/>
      <c r="F1978" s="26"/>
      <c r="G1978" s="26"/>
    </row>
    <row r="1979">
      <c r="A1979" s="28"/>
      <c r="B1979" s="26"/>
      <c r="C1979" s="27"/>
      <c r="D1979" s="27"/>
      <c r="E1979" s="26"/>
      <c r="F1979" s="26"/>
      <c r="G1979" s="26"/>
    </row>
    <row r="1980">
      <c r="A1980" s="28"/>
      <c r="B1980" s="26"/>
      <c r="C1980" s="27"/>
      <c r="D1980" s="27"/>
      <c r="E1980" s="26"/>
      <c r="F1980" s="26"/>
      <c r="G1980" s="26"/>
    </row>
    <row r="1981">
      <c r="A1981" s="28"/>
      <c r="B1981" s="26"/>
      <c r="C1981" s="27"/>
      <c r="D1981" s="27"/>
      <c r="E1981" s="26"/>
      <c r="F1981" s="26"/>
      <c r="G1981" s="26"/>
    </row>
    <row r="1982">
      <c r="A1982" s="28"/>
      <c r="B1982" s="26"/>
      <c r="C1982" s="27"/>
      <c r="D1982" s="27"/>
      <c r="E1982" s="26"/>
      <c r="F1982" s="26"/>
      <c r="G1982" s="26"/>
    </row>
    <row r="1983">
      <c r="A1983" s="28"/>
      <c r="B1983" s="26"/>
      <c r="C1983" s="27"/>
      <c r="D1983" s="27"/>
      <c r="E1983" s="26"/>
      <c r="F1983" s="26"/>
      <c r="G1983" s="26"/>
    </row>
    <row r="1984">
      <c r="A1984" s="28"/>
      <c r="B1984" s="26"/>
      <c r="C1984" s="27"/>
      <c r="D1984" s="27"/>
      <c r="E1984" s="26"/>
      <c r="F1984" s="26"/>
      <c r="G1984" s="26"/>
    </row>
    <row r="1985">
      <c r="A1985" s="28"/>
      <c r="B1985" s="26"/>
      <c r="C1985" s="27"/>
      <c r="D1985" s="27"/>
      <c r="E1985" s="26"/>
      <c r="F1985" s="26"/>
      <c r="G1985" s="26"/>
    </row>
    <row r="1986">
      <c r="A1986" s="28"/>
      <c r="B1986" s="26"/>
      <c r="C1986" s="27"/>
      <c r="D1986" s="27"/>
      <c r="E1986" s="26"/>
      <c r="F1986" s="26"/>
      <c r="G1986" s="26"/>
    </row>
    <row r="1987">
      <c r="A1987" s="28"/>
      <c r="B1987" s="26"/>
      <c r="C1987" s="27"/>
      <c r="D1987" s="27"/>
      <c r="E1987" s="26"/>
      <c r="F1987" s="26"/>
      <c r="G1987" s="26"/>
    </row>
    <row r="1988">
      <c r="A1988" s="28"/>
      <c r="B1988" s="26"/>
      <c r="C1988" s="27"/>
      <c r="D1988" s="27"/>
      <c r="E1988" s="26"/>
      <c r="F1988" s="26"/>
      <c r="G1988" s="26"/>
    </row>
    <row r="1989">
      <c r="A1989" s="28"/>
      <c r="B1989" s="26"/>
      <c r="C1989" s="27"/>
      <c r="D1989" s="27"/>
      <c r="E1989" s="26"/>
      <c r="F1989" s="26"/>
      <c r="G1989" s="26"/>
    </row>
    <row r="1990">
      <c r="A1990" s="28"/>
      <c r="B1990" s="26"/>
      <c r="C1990" s="27"/>
      <c r="D1990" s="27"/>
      <c r="E1990" s="26"/>
      <c r="F1990" s="26"/>
      <c r="G1990" s="26"/>
    </row>
    <row r="1991">
      <c r="A1991" s="28"/>
      <c r="B1991" s="26"/>
      <c r="C1991" s="27"/>
      <c r="D1991" s="27"/>
      <c r="E1991" s="26"/>
      <c r="F1991" s="26"/>
      <c r="G1991" s="26"/>
    </row>
    <row r="1992">
      <c r="A1992" s="28"/>
      <c r="B1992" s="26"/>
      <c r="C1992" s="27"/>
      <c r="D1992" s="27"/>
      <c r="E1992" s="26"/>
      <c r="F1992" s="26"/>
      <c r="G1992" s="26"/>
    </row>
    <row r="1993">
      <c r="A1993" s="28"/>
      <c r="B1993" s="26"/>
      <c r="C1993" s="27"/>
      <c r="D1993" s="27"/>
      <c r="E1993" s="26"/>
      <c r="F1993" s="26"/>
      <c r="G1993" s="26"/>
    </row>
    <row r="1994">
      <c r="A1994" s="28"/>
      <c r="B1994" s="26"/>
      <c r="C1994" s="27"/>
      <c r="D1994" s="27"/>
      <c r="E1994" s="26"/>
      <c r="F1994" s="26"/>
      <c r="G1994" s="26"/>
    </row>
    <row r="1995">
      <c r="A1995" s="28"/>
      <c r="B1995" s="26"/>
      <c r="C1995" s="27"/>
      <c r="D1995" s="27"/>
      <c r="E1995" s="26"/>
      <c r="F1995" s="26"/>
      <c r="G1995" s="26"/>
    </row>
    <row r="1996">
      <c r="A1996" s="28"/>
      <c r="B1996" s="26"/>
      <c r="C1996" s="27"/>
      <c r="D1996" s="27"/>
      <c r="E1996" s="26"/>
      <c r="F1996" s="26"/>
      <c r="G1996" s="26"/>
    </row>
    <row r="1997">
      <c r="A1997" s="28"/>
      <c r="B1997" s="26"/>
      <c r="C1997" s="27"/>
      <c r="D1997" s="27"/>
      <c r="E1997" s="26"/>
      <c r="F1997" s="26"/>
      <c r="G1997" s="26"/>
    </row>
    <row r="1998">
      <c r="A1998" s="28"/>
      <c r="B1998" s="26"/>
      <c r="C1998" s="27"/>
      <c r="D1998" s="27"/>
      <c r="E1998" s="26"/>
      <c r="F1998" s="26"/>
      <c r="G1998" s="26"/>
    </row>
    <row r="1999">
      <c r="A1999" s="28"/>
      <c r="B1999" s="26"/>
      <c r="C1999" s="27"/>
      <c r="D1999" s="27"/>
      <c r="E1999" s="26"/>
      <c r="F1999" s="26"/>
      <c r="G1999" s="26"/>
    </row>
    <row r="2000">
      <c r="A2000" s="28"/>
      <c r="B2000" s="26"/>
      <c r="C2000" s="27"/>
      <c r="D2000" s="27"/>
      <c r="E2000" s="26"/>
      <c r="F2000" s="26"/>
      <c r="G2000" s="26"/>
    </row>
    <row r="2001">
      <c r="A2001" s="28"/>
      <c r="B2001" s="26"/>
      <c r="C2001" s="27"/>
      <c r="D2001" s="27"/>
      <c r="E2001" s="26"/>
      <c r="F2001" s="26"/>
      <c r="G2001" s="26"/>
    </row>
    <row r="2002">
      <c r="A2002" s="28"/>
      <c r="B2002" s="26"/>
      <c r="C2002" s="27"/>
      <c r="D2002" s="27"/>
      <c r="E2002" s="26"/>
      <c r="F2002" s="26"/>
      <c r="G2002" s="26"/>
    </row>
    <row r="2003">
      <c r="A2003" s="28"/>
      <c r="B2003" s="26"/>
      <c r="C2003" s="27"/>
      <c r="D2003" s="27"/>
      <c r="E2003" s="26"/>
      <c r="F2003" s="26"/>
      <c r="G2003" s="26"/>
    </row>
    <row r="2004">
      <c r="A2004" s="28"/>
      <c r="B2004" s="26"/>
      <c r="C2004" s="27"/>
      <c r="D2004" s="27"/>
      <c r="E2004" s="26"/>
      <c r="F2004" s="26"/>
      <c r="G2004" s="26"/>
    </row>
    <row r="2005">
      <c r="A2005" s="28"/>
      <c r="B2005" s="26"/>
      <c r="C2005" s="27"/>
      <c r="D2005" s="27"/>
      <c r="E2005" s="26"/>
      <c r="F2005" s="26"/>
      <c r="G2005" s="26"/>
    </row>
    <row r="2006">
      <c r="A2006" s="28"/>
      <c r="B2006" s="26"/>
      <c r="C2006" s="27"/>
      <c r="D2006" s="27"/>
      <c r="E2006" s="26"/>
      <c r="F2006" s="26"/>
      <c r="G2006" s="26"/>
    </row>
    <row r="2007">
      <c r="A2007" s="28"/>
      <c r="B2007" s="26"/>
      <c r="C2007" s="27"/>
      <c r="D2007" s="27"/>
      <c r="E2007" s="26"/>
      <c r="F2007" s="26"/>
      <c r="G2007" s="26"/>
    </row>
    <row r="2008">
      <c r="A2008" s="28"/>
      <c r="B2008" s="26"/>
      <c r="C2008" s="27"/>
      <c r="D2008" s="27"/>
      <c r="E2008" s="26"/>
      <c r="F2008" s="26"/>
      <c r="G2008" s="26"/>
    </row>
    <row r="2009">
      <c r="A2009" s="28"/>
      <c r="B2009" s="26"/>
      <c r="C2009" s="27"/>
      <c r="D2009" s="27"/>
      <c r="E2009" s="26"/>
      <c r="F2009" s="26"/>
      <c r="G2009" s="26"/>
    </row>
    <row r="2010">
      <c r="A2010" s="28"/>
      <c r="B2010" s="26"/>
      <c r="C2010" s="27"/>
      <c r="D2010" s="27"/>
      <c r="E2010" s="26"/>
      <c r="F2010" s="26"/>
      <c r="G2010" s="26"/>
    </row>
    <row r="2011">
      <c r="A2011" s="28"/>
      <c r="B2011" s="26"/>
      <c r="C2011" s="27"/>
      <c r="D2011" s="27"/>
      <c r="E2011" s="26"/>
      <c r="F2011" s="26"/>
      <c r="G2011" s="26"/>
    </row>
    <row r="2012">
      <c r="A2012" s="28"/>
      <c r="B2012" s="26"/>
      <c r="C2012" s="27"/>
      <c r="D2012" s="27"/>
      <c r="E2012" s="26"/>
      <c r="F2012" s="26"/>
      <c r="G2012" s="26"/>
    </row>
    <row r="2013">
      <c r="A2013" s="28"/>
      <c r="B2013" s="26"/>
      <c r="C2013" s="27"/>
      <c r="D2013" s="27"/>
      <c r="E2013" s="26"/>
      <c r="F2013" s="26"/>
      <c r="G2013" s="26"/>
    </row>
    <row r="2014">
      <c r="A2014" s="28"/>
      <c r="B2014" s="26"/>
      <c r="C2014" s="27"/>
      <c r="D2014" s="27"/>
      <c r="E2014" s="26"/>
      <c r="F2014" s="26"/>
      <c r="G2014" s="26"/>
    </row>
    <row r="2015">
      <c r="A2015" s="28"/>
      <c r="B2015" s="26"/>
      <c r="C2015" s="27"/>
      <c r="D2015" s="27"/>
      <c r="E2015" s="26"/>
      <c r="F2015" s="26"/>
      <c r="G2015" s="26"/>
    </row>
    <row r="2016">
      <c r="A2016" s="28"/>
      <c r="B2016" s="26"/>
      <c r="C2016" s="27"/>
      <c r="D2016" s="27"/>
      <c r="E2016" s="26"/>
      <c r="F2016" s="26"/>
      <c r="G2016" s="26"/>
    </row>
    <row r="2017">
      <c r="A2017" s="28"/>
      <c r="B2017" s="26"/>
      <c r="C2017" s="27"/>
      <c r="D2017" s="27"/>
      <c r="E2017" s="26"/>
      <c r="F2017" s="26"/>
      <c r="G2017" s="26"/>
    </row>
    <row r="2018">
      <c r="A2018" s="28"/>
      <c r="B2018" s="26"/>
      <c r="C2018" s="27"/>
      <c r="D2018" s="27"/>
      <c r="E2018" s="26"/>
      <c r="F2018" s="26"/>
      <c r="G2018" s="26"/>
    </row>
    <row r="2019">
      <c r="A2019" s="28"/>
      <c r="B2019" s="26"/>
      <c r="C2019" s="27"/>
      <c r="D2019" s="27"/>
      <c r="E2019" s="26"/>
      <c r="F2019" s="26"/>
      <c r="G2019" s="26"/>
    </row>
    <row r="2020">
      <c r="A2020" s="28"/>
      <c r="B2020" s="26"/>
      <c r="C2020" s="27"/>
      <c r="D2020" s="27"/>
      <c r="E2020" s="26"/>
      <c r="F2020" s="26"/>
      <c r="G2020" s="26"/>
    </row>
    <row r="2021">
      <c r="A2021" s="28"/>
      <c r="B2021" s="26"/>
      <c r="C2021" s="27"/>
      <c r="D2021" s="27"/>
      <c r="E2021" s="26"/>
      <c r="F2021" s="26"/>
      <c r="G2021" s="26"/>
    </row>
    <row r="2022">
      <c r="A2022" s="28"/>
      <c r="B2022" s="26"/>
      <c r="C2022" s="27"/>
      <c r="D2022" s="27"/>
      <c r="E2022" s="26"/>
      <c r="F2022" s="26"/>
      <c r="G2022" s="26"/>
    </row>
    <row r="2023">
      <c r="A2023" s="28"/>
      <c r="B2023" s="26"/>
      <c r="C2023" s="27"/>
      <c r="D2023" s="27"/>
      <c r="E2023" s="26"/>
      <c r="F2023" s="26"/>
      <c r="G2023" s="26"/>
    </row>
    <row r="2024">
      <c r="A2024" s="28"/>
      <c r="B2024" s="26"/>
      <c r="C2024" s="27"/>
      <c r="D2024" s="27"/>
      <c r="E2024" s="26"/>
      <c r="F2024" s="26"/>
      <c r="G2024" s="26"/>
    </row>
    <row r="2025">
      <c r="A2025" s="28"/>
      <c r="B2025" s="26"/>
      <c r="C2025" s="27"/>
      <c r="D2025" s="27"/>
      <c r="E2025" s="26"/>
      <c r="F2025" s="26"/>
      <c r="G2025" s="26"/>
    </row>
    <row r="2026">
      <c r="A2026" s="28"/>
      <c r="B2026" s="26"/>
      <c r="C2026" s="27"/>
      <c r="D2026" s="27"/>
      <c r="E2026" s="26"/>
      <c r="F2026" s="26"/>
      <c r="G2026" s="26"/>
    </row>
    <row r="2027">
      <c r="A2027" s="28"/>
      <c r="B2027" s="26"/>
      <c r="C2027" s="27"/>
      <c r="D2027" s="27"/>
      <c r="E2027" s="26"/>
      <c r="F2027" s="26"/>
      <c r="G2027" s="26"/>
    </row>
    <row r="2028">
      <c r="A2028" s="28"/>
      <c r="B2028" s="26"/>
      <c r="C2028" s="27"/>
      <c r="D2028" s="27"/>
      <c r="E2028" s="26"/>
      <c r="F2028" s="26"/>
      <c r="G2028" s="26"/>
    </row>
    <row r="2029">
      <c r="A2029" s="28"/>
      <c r="B2029" s="26"/>
      <c r="C2029" s="27"/>
      <c r="D2029" s="27"/>
      <c r="E2029" s="26"/>
      <c r="F2029" s="26"/>
      <c r="G2029" s="26"/>
    </row>
    <row r="2030">
      <c r="A2030" s="28"/>
      <c r="B2030" s="26"/>
      <c r="C2030" s="27"/>
      <c r="D2030" s="27"/>
      <c r="E2030" s="26"/>
      <c r="F2030" s="26"/>
      <c r="G2030" s="26"/>
    </row>
    <row r="2031">
      <c r="A2031" s="28"/>
      <c r="B2031" s="26"/>
      <c r="C2031" s="27"/>
      <c r="D2031" s="27"/>
      <c r="E2031" s="26"/>
      <c r="F2031" s="26"/>
      <c r="G2031" s="26"/>
    </row>
    <row r="2032">
      <c r="A2032" s="28"/>
      <c r="B2032" s="26"/>
      <c r="C2032" s="27"/>
      <c r="D2032" s="27"/>
      <c r="E2032" s="26"/>
      <c r="F2032" s="26"/>
      <c r="G2032" s="26"/>
    </row>
    <row r="2033">
      <c r="A2033" s="28"/>
      <c r="B2033" s="26"/>
      <c r="C2033" s="27"/>
      <c r="D2033" s="27"/>
      <c r="E2033" s="26"/>
      <c r="F2033" s="26"/>
      <c r="G2033" s="26"/>
    </row>
    <row r="2034">
      <c r="A2034" s="28"/>
      <c r="B2034" s="26"/>
      <c r="C2034" s="27"/>
      <c r="D2034" s="27"/>
      <c r="E2034" s="26"/>
      <c r="F2034" s="26"/>
      <c r="G2034" s="26"/>
    </row>
    <row r="2035">
      <c r="A2035" s="28"/>
      <c r="B2035" s="26"/>
      <c r="C2035" s="27"/>
      <c r="D2035" s="27"/>
      <c r="E2035" s="26"/>
      <c r="F2035" s="26"/>
      <c r="G2035" s="26"/>
    </row>
    <row r="2036">
      <c r="A2036" s="28"/>
      <c r="B2036" s="26"/>
      <c r="C2036" s="27"/>
      <c r="D2036" s="27"/>
      <c r="E2036" s="26"/>
      <c r="F2036" s="26"/>
      <c r="G2036" s="26"/>
    </row>
    <row r="2037">
      <c r="A2037" s="28"/>
      <c r="B2037" s="26"/>
      <c r="C2037" s="27"/>
      <c r="D2037" s="27"/>
      <c r="E2037" s="26"/>
      <c r="F2037" s="26"/>
      <c r="G2037" s="26"/>
    </row>
    <row r="2038">
      <c r="A2038" s="28"/>
      <c r="B2038" s="26"/>
      <c r="C2038" s="27"/>
      <c r="D2038" s="27"/>
      <c r="E2038" s="26"/>
      <c r="F2038" s="26"/>
      <c r="G2038" s="26"/>
    </row>
    <row r="2039">
      <c r="A2039" s="28"/>
      <c r="B2039" s="26"/>
      <c r="C2039" s="27"/>
      <c r="D2039" s="27"/>
      <c r="E2039" s="26"/>
      <c r="F2039" s="26"/>
      <c r="G2039" s="26"/>
    </row>
    <row r="2040">
      <c r="A2040" s="28"/>
      <c r="B2040" s="26"/>
      <c r="C2040" s="27"/>
      <c r="D2040" s="27"/>
      <c r="E2040" s="26"/>
      <c r="F2040" s="26"/>
      <c r="G2040" s="26"/>
    </row>
    <row r="2041">
      <c r="A2041" s="28"/>
      <c r="B2041" s="26"/>
      <c r="C2041" s="27"/>
      <c r="D2041" s="27"/>
      <c r="E2041" s="26"/>
      <c r="F2041" s="26"/>
      <c r="G2041" s="26"/>
    </row>
    <row r="2042">
      <c r="A2042" s="28"/>
      <c r="B2042" s="26"/>
      <c r="C2042" s="27"/>
      <c r="D2042" s="27"/>
      <c r="E2042" s="26"/>
      <c r="F2042" s="26"/>
      <c r="G2042" s="26"/>
    </row>
    <row r="2043">
      <c r="A2043" s="28"/>
      <c r="B2043" s="26"/>
      <c r="C2043" s="27"/>
      <c r="D2043" s="27"/>
      <c r="E2043" s="26"/>
      <c r="F2043" s="26"/>
      <c r="G2043" s="26"/>
    </row>
    <row r="2044">
      <c r="A2044" s="28"/>
      <c r="B2044" s="26"/>
      <c r="C2044" s="27"/>
      <c r="D2044" s="27"/>
      <c r="E2044" s="26"/>
      <c r="F2044" s="26"/>
      <c r="G2044" s="26"/>
    </row>
    <row r="2045">
      <c r="A2045" s="28"/>
      <c r="B2045" s="26"/>
      <c r="C2045" s="27"/>
      <c r="D2045" s="27"/>
      <c r="E2045" s="26"/>
      <c r="F2045" s="26"/>
      <c r="G2045" s="26"/>
    </row>
    <row r="2046">
      <c r="A2046" s="28"/>
      <c r="B2046" s="26"/>
      <c r="C2046" s="27"/>
      <c r="D2046" s="27"/>
      <c r="E2046" s="26"/>
      <c r="F2046" s="26"/>
      <c r="G2046" s="26"/>
    </row>
    <row r="2047">
      <c r="A2047" s="28"/>
      <c r="B2047" s="26"/>
      <c r="C2047" s="27"/>
      <c r="D2047" s="27"/>
      <c r="E2047" s="26"/>
      <c r="F2047" s="26"/>
      <c r="G2047" s="26"/>
    </row>
    <row r="2048">
      <c r="A2048" s="28"/>
      <c r="B2048" s="26"/>
      <c r="C2048" s="27"/>
      <c r="D2048" s="27"/>
      <c r="E2048" s="26"/>
      <c r="F2048" s="26"/>
      <c r="G2048" s="26"/>
    </row>
    <row r="2049">
      <c r="A2049" s="28"/>
      <c r="B2049" s="26"/>
      <c r="C2049" s="27"/>
      <c r="D2049" s="27"/>
      <c r="E2049" s="26"/>
      <c r="F2049" s="26"/>
      <c r="G2049" s="26"/>
    </row>
    <row r="2050">
      <c r="A2050" s="28"/>
      <c r="B2050" s="26"/>
      <c r="C2050" s="27"/>
      <c r="D2050" s="27"/>
      <c r="E2050" s="26"/>
      <c r="F2050" s="26"/>
      <c r="G2050" s="26"/>
    </row>
    <row r="2051">
      <c r="A2051" s="28"/>
      <c r="B2051" s="26"/>
      <c r="C2051" s="27"/>
      <c r="D2051" s="27"/>
      <c r="E2051" s="26"/>
      <c r="F2051" s="26"/>
      <c r="G2051" s="26"/>
    </row>
    <row r="2052">
      <c r="A2052" s="28"/>
      <c r="B2052" s="26"/>
      <c r="C2052" s="27"/>
      <c r="D2052" s="27"/>
      <c r="E2052" s="26"/>
      <c r="F2052" s="26"/>
      <c r="G2052" s="26"/>
    </row>
    <row r="2053">
      <c r="A2053" s="28"/>
      <c r="B2053" s="26"/>
      <c r="C2053" s="27"/>
      <c r="D2053" s="27"/>
      <c r="E2053" s="26"/>
      <c r="F2053" s="26"/>
      <c r="G2053" s="26"/>
    </row>
    <row r="2054">
      <c r="A2054" s="28"/>
      <c r="B2054" s="26"/>
      <c r="C2054" s="27"/>
      <c r="D2054" s="27"/>
      <c r="E2054" s="26"/>
      <c r="F2054" s="26"/>
      <c r="G2054" s="26"/>
    </row>
    <row r="2055">
      <c r="A2055" s="28"/>
      <c r="B2055" s="26"/>
      <c r="C2055" s="27"/>
      <c r="D2055" s="27"/>
      <c r="E2055" s="26"/>
      <c r="F2055" s="26"/>
      <c r="G2055" s="26"/>
    </row>
    <row r="2056">
      <c r="A2056" s="28"/>
      <c r="B2056" s="26"/>
      <c r="C2056" s="27"/>
      <c r="D2056" s="27"/>
      <c r="E2056" s="26"/>
      <c r="F2056" s="26"/>
      <c r="G2056" s="26"/>
    </row>
    <row r="2057">
      <c r="A2057" s="28"/>
      <c r="B2057" s="26"/>
      <c r="C2057" s="27"/>
      <c r="D2057" s="27"/>
      <c r="E2057" s="26"/>
      <c r="F2057" s="26"/>
      <c r="G2057" s="26"/>
    </row>
    <row r="2058">
      <c r="A2058" s="28"/>
      <c r="B2058" s="26"/>
      <c r="C2058" s="27"/>
      <c r="D2058" s="27"/>
      <c r="E2058" s="26"/>
      <c r="F2058" s="26"/>
      <c r="G2058" s="26"/>
    </row>
    <row r="2059">
      <c r="A2059" s="28"/>
      <c r="B2059" s="26"/>
      <c r="C2059" s="27"/>
      <c r="D2059" s="27"/>
      <c r="E2059" s="26"/>
      <c r="F2059" s="26"/>
      <c r="G2059" s="26"/>
    </row>
    <row r="2060">
      <c r="A2060" s="28"/>
      <c r="B2060" s="26"/>
      <c r="C2060" s="27"/>
      <c r="D2060" s="27"/>
      <c r="E2060" s="26"/>
      <c r="F2060" s="26"/>
      <c r="G2060" s="26"/>
    </row>
    <row r="2061">
      <c r="A2061" s="28"/>
      <c r="B2061" s="26"/>
      <c r="C2061" s="27"/>
      <c r="D2061" s="27"/>
      <c r="E2061" s="26"/>
      <c r="F2061" s="26"/>
      <c r="G2061" s="26"/>
    </row>
    <row r="2062">
      <c r="A2062" s="28"/>
      <c r="B2062" s="26"/>
      <c r="C2062" s="27"/>
      <c r="D2062" s="27"/>
      <c r="E2062" s="26"/>
      <c r="F2062" s="26"/>
      <c r="G2062" s="26"/>
    </row>
    <row r="2063">
      <c r="A2063" s="28"/>
      <c r="B2063" s="26"/>
      <c r="C2063" s="27"/>
      <c r="D2063" s="27"/>
      <c r="E2063" s="26"/>
      <c r="F2063" s="26"/>
      <c r="G2063" s="26"/>
    </row>
    <row r="2064">
      <c r="A2064" s="28"/>
      <c r="B2064" s="26"/>
      <c r="C2064" s="27"/>
      <c r="D2064" s="27"/>
      <c r="E2064" s="26"/>
      <c r="F2064" s="26"/>
      <c r="G2064" s="26"/>
    </row>
    <row r="2065">
      <c r="A2065" s="28"/>
      <c r="B2065" s="26"/>
      <c r="C2065" s="27"/>
      <c r="D2065" s="27"/>
      <c r="E2065" s="26"/>
      <c r="F2065" s="26"/>
      <c r="G2065" s="26"/>
    </row>
    <row r="2066">
      <c r="A2066" s="28"/>
      <c r="B2066" s="26"/>
      <c r="C2066" s="27"/>
      <c r="D2066" s="27"/>
      <c r="E2066" s="26"/>
      <c r="F2066" s="26"/>
      <c r="G2066" s="26"/>
    </row>
    <row r="2067">
      <c r="A2067" s="28"/>
      <c r="B2067" s="26"/>
      <c r="C2067" s="27"/>
      <c r="D2067" s="27"/>
      <c r="E2067" s="26"/>
      <c r="F2067" s="26"/>
      <c r="G2067" s="26"/>
    </row>
    <row r="2068">
      <c r="A2068" s="28"/>
      <c r="B2068" s="26"/>
      <c r="C2068" s="27"/>
      <c r="D2068" s="27"/>
      <c r="E2068" s="26"/>
      <c r="F2068" s="26"/>
      <c r="G2068" s="26"/>
    </row>
    <row r="2069">
      <c r="A2069" s="28"/>
      <c r="B2069" s="26"/>
      <c r="C2069" s="27"/>
      <c r="D2069" s="27"/>
      <c r="E2069" s="26"/>
      <c r="F2069" s="26"/>
      <c r="G2069" s="26"/>
    </row>
    <row r="2070">
      <c r="A2070" s="28"/>
      <c r="B2070" s="26"/>
      <c r="C2070" s="27"/>
      <c r="D2070" s="27"/>
      <c r="E2070" s="26"/>
      <c r="F2070" s="26"/>
      <c r="G2070" s="26"/>
    </row>
    <row r="2071">
      <c r="A2071" s="28"/>
      <c r="B2071" s="26"/>
      <c r="C2071" s="27"/>
      <c r="D2071" s="27"/>
      <c r="E2071" s="26"/>
      <c r="F2071" s="26"/>
      <c r="G2071" s="26"/>
    </row>
    <row r="2072">
      <c r="A2072" s="28"/>
      <c r="B2072" s="26"/>
      <c r="C2072" s="27"/>
      <c r="D2072" s="27"/>
      <c r="E2072" s="26"/>
      <c r="F2072" s="26"/>
      <c r="G2072" s="26"/>
    </row>
    <row r="2073">
      <c r="A2073" s="28"/>
      <c r="B2073" s="26"/>
      <c r="C2073" s="27"/>
      <c r="D2073" s="27"/>
      <c r="E2073" s="26"/>
      <c r="F2073" s="26"/>
      <c r="G2073" s="26"/>
    </row>
    <row r="2074">
      <c r="A2074" s="28"/>
      <c r="B2074" s="26"/>
      <c r="C2074" s="27"/>
      <c r="D2074" s="27"/>
      <c r="E2074" s="26"/>
      <c r="F2074" s="26"/>
      <c r="G2074" s="26"/>
    </row>
    <row r="2075">
      <c r="A2075" s="28"/>
      <c r="B2075" s="26"/>
      <c r="C2075" s="27"/>
      <c r="D2075" s="27"/>
      <c r="E2075" s="26"/>
      <c r="F2075" s="26"/>
      <c r="G2075" s="26"/>
    </row>
    <row r="2076">
      <c r="A2076" s="28"/>
      <c r="B2076" s="26"/>
      <c r="C2076" s="27"/>
      <c r="D2076" s="27"/>
      <c r="E2076" s="26"/>
      <c r="F2076" s="26"/>
      <c r="G2076" s="26"/>
    </row>
    <row r="2077">
      <c r="A2077" s="28"/>
      <c r="B2077" s="26"/>
      <c r="C2077" s="27"/>
      <c r="D2077" s="27"/>
      <c r="E2077" s="26"/>
      <c r="F2077" s="26"/>
      <c r="G2077" s="26"/>
    </row>
    <row r="2078">
      <c r="A2078" s="28"/>
      <c r="B2078" s="26"/>
      <c r="C2078" s="27"/>
      <c r="D2078" s="27"/>
      <c r="E2078" s="26"/>
      <c r="F2078" s="26"/>
      <c r="G2078" s="26"/>
    </row>
    <row r="2079">
      <c r="A2079" s="28"/>
      <c r="B2079" s="26"/>
      <c r="C2079" s="27"/>
      <c r="D2079" s="27"/>
      <c r="E2079" s="26"/>
      <c r="F2079" s="26"/>
      <c r="G2079" s="26"/>
    </row>
    <row r="2080">
      <c r="A2080" s="28"/>
      <c r="B2080" s="26"/>
      <c r="C2080" s="27"/>
      <c r="D2080" s="27"/>
      <c r="E2080" s="26"/>
      <c r="F2080" s="26"/>
      <c r="G2080" s="26"/>
    </row>
    <row r="2081">
      <c r="A2081" s="28"/>
      <c r="B2081" s="26"/>
      <c r="C2081" s="27"/>
      <c r="D2081" s="27"/>
      <c r="E2081" s="26"/>
      <c r="F2081" s="26"/>
      <c r="G2081" s="26"/>
    </row>
    <row r="2082">
      <c r="A2082" s="28"/>
      <c r="B2082" s="26"/>
      <c r="C2082" s="27"/>
      <c r="D2082" s="27"/>
      <c r="E2082" s="26"/>
      <c r="F2082" s="26"/>
      <c r="G2082" s="26"/>
    </row>
    <row r="2083">
      <c r="A2083" s="28"/>
      <c r="B2083" s="26"/>
      <c r="C2083" s="27"/>
      <c r="D2083" s="27"/>
      <c r="E2083" s="26"/>
      <c r="F2083" s="26"/>
      <c r="G2083" s="26"/>
    </row>
    <row r="2084">
      <c r="A2084" s="28"/>
      <c r="B2084" s="26"/>
      <c r="C2084" s="27"/>
      <c r="D2084" s="27"/>
      <c r="E2084" s="26"/>
      <c r="F2084" s="26"/>
      <c r="G2084" s="26"/>
    </row>
    <row r="2085">
      <c r="A2085" s="28"/>
      <c r="B2085" s="26"/>
      <c r="C2085" s="27"/>
      <c r="D2085" s="27"/>
      <c r="E2085" s="26"/>
      <c r="F2085" s="26"/>
      <c r="G2085" s="26"/>
    </row>
    <row r="2086">
      <c r="A2086" s="28"/>
      <c r="B2086" s="26"/>
      <c r="C2086" s="27"/>
      <c r="D2086" s="27"/>
      <c r="E2086" s="26"/>
      <c r="F2086" s="26"/>
      <c r="G2086" s="26"/>
    </row>
    <row r="2087">
      <c r="A2087" s="28"/>
      <c r="B2087" s="26"/>
      <c r="C2087" s="27"/>
      <c r="D2087" s="27"/>
      <c r="E2087" s="26"/>
      <c r="F2087" s="26"/>
      <c r="G2087" s="26"/>
    </row>
    <row r="2088">
      <c r="A2088" s="28"/>
      <c r="B2088" s="26"/>
      <c r="C2088" s="27"/>
      <c r="D2088" s="27"/>
      <c r="E2088" s="26"/>
      <c r="F2088" s="26"/>
      <c r="G2088" s="26"/>
    </row>
    <row r="2089">
      <c r="A2089" s="28"/>
      <c r="B2089" s="26"/>
      <c r="C2089" s="27"/>
      <c r="D2089" s="27"/>
      <c r="E2089" s="26"/>
      <c r="F2089" s="26"/>
      <c r="G2089" s="26"/>
    </row>
    <row r="2090">
      <c r="A2090" s="28"/>
      <c r="B2090" s="26"/>
      <c r="C2090" s="27"/>
      <c r="D2090" s="27"/>
      <c r="E2090" s="26"/>
      <c r="F2090" s="26"/>
      <c r="G2090" s="26"/>
    </row>
    <row r="2091">
      <c r="A2091" s="28"/>
      <c r="B2091" s="26"/>
      <c r="C2091" s="27"/>
      <c r="D2091" s="27"/>
      <c r="E2091" s="26"/>
      <c r="F2091" s="26"/>
      <c r="G2091" s="26"/>
    </row>
    <row r="2092">
      <c r="A2092" s="28"/>
      <c r="B2092" s="26"/>
      <c r="C2092" s="27"/>
      <c r="D2092" s="27"/>
      <c r="E2092" s="26"/>
      <c r="F2092" s="26"/>
      <c r="G2092" s="26"/>
    </row>
    <row r="2093">
      <c r="A2093" s="28"/>
      <c r="B2093" s="26"/>
      <c r="C2093" s="27"/>
      <c r="D2093" s="27"/>
      <c r="E2093" s="26"/>
      <c r="F2093" s="26"/>
      <c r="G2093" s="26"/>
    </row>
    <row r="2094">
      <c r="A2094" s="28"/>
      <c r="B2094" s="26"/>
      <c r="C2094" s="27"/>
      <c r="D2094" s="27"/>
      <c r="E2094" s="26"/>
      <c r="F2094" s="26"/>
      <c r="G2094" s="26"/>
    </row>
    <row r="2095">
      <c r="A2095" s="28"/>
      <c r="B2095" s="26"/>
      <c r="C2095" s="27"/>
      <c r="D2095" s="27"/>
      <c r="E2095" s="26"/>
      <c r="F2095" s="26"/>
      <c r="G2095" s="26"/>
    </row>
    <row r="2096">
      <c r="A2096" s="28"/>
      <c r="B2096" s="26"/>
      <c r="C2096" s="27"/>
      <c r="D2096" s="27"/>
      <c r="E2096" s="26"/>
      <c r="F2096" s="26"/>
      <c r="G2096" s="26"/>
    </row>
    <row r="2097">
      <c r="A2097" s="28"/>
      <c r="B2097" s="26"/>
      <c r="C2097" s="27"/>
      <c r="D2097" s="27"/>
      <c r="E2097" s="26"/>
      <c r="F2097" s="26"/>
      <c r="G2097" s="26"/>
    </row>
    <row r="2098">
      <c r="A2098" s="28"/>
      <c r="B2098" s="26"/>
      <c r="C2098" s="27"/>
      <c r="D2098" s="27"/>
      <c r="E2098" s="26"/>
      <c r="F2098" s="26"/>
      <c r="G2098" s="26"/>
    </row>
    <row r="2099">
      <c r="A2099" s="28"/>
      <c r="B2099" s="26"/>
      <c r="C2099" s="27"/>
      <c r="D2099" s="27"/>
      <c r="E2099" s="26"/>
      <c r="F2099" s="26"/>
      <c r="G2099" s="26"/>
    </row>
    <row r="2100">
      <c r="A2100" s="28"/>
      <c r="B2100" s="26"/>
      <c r="C2100" s="27"/>
      <c r="D2100" s="27"/>
      <c r="E2100" s="26"/>
      <c r="F2100" s="26"/>
      <c r="G2100" s="26"/>
    </row>
    <row r="2101">
      <c r="A2101" s="28"/>
      <c r="B2101" s="26"/>
      <c r="C2101" s="27"/>
      <c r="D2101" s="27"/>
      <c r="E2101" s="26"/>
      <c r="F2101" s="26"/>
      <c r="G2101" s="26"/>
    </row>
    <row r="2102">
      <c r="A2102" s="28"/>
      <c r="B2102" s="26"/>
      <c r="C2102" s="27"/>
      <c r="D2102" s="27"/>
      <c r="E2102" s="26"/>
      <c r="F2102" s="26"/>
      <c r="G2102" s="26"/>
    </row>
    <row r="2103">
      <c r="A2103" s="28"/>
      <c r="B2103" s="26"/>
      <c r="C2103" s="27"/>
      <c r="D2103" s="27"/>
      <c r="E2103" s="26"/>
      <c r="F2103" s="26"/>
      <c r="G2103" s="26"/>
    </row>
    <row r="2104">
      <c r="A2104" s="28"/>
      <c r="B2104" s="26"/>
      <c r="C2104" s="27"/>
      <c r="D2104" s="27"/>
      <c r="E2104" s="26"/>
      <c r="F2104" s="26"/>
      <c r="G2104" s="26"/>
    </row>
    <row r="2105">
      <c r="A2105" s="28"/>
      <c r="B2105" s="26"/>
      <c r="C2105" s="27"/>
      <c r="D2105" s="27"/>
      <c r="E2105" s="26"/>
      <c r="F2105" s="26"/>
      <c r="G2105" s="26"/>
    </row>
    <row r="2106">
      <c r="A2106" s="28"/>
      <c r="B2106" s="26"/>
      <c r="C2106" s="27"/>
      <c r="D2106" s="27"/>
      <c r="E2106" s="26"/>
      <c r="F2106" s="26"/>
      <c r="G2106" s="26"/>
    </row>
    <row r="2107">
      <c r="A2107" s="28"/>
      <c r="B2107" s="26"/>
      <c r="C2107" s="27"/>
      <c r="D2107" s="27"/>
      <c r="E2107" s="26"/>
      <c r="F2107" s="26"/>
      <c r="G2107" s="26"/>
    </row>
    <row r="2108">
      <c r="A2108" s="28"/>
      <c r="B2108" s="26"/>
      <c r="C2108" s="27"/>
      <c r="D2108" s="27"/>
      <c r="E2108" s="26"/>
      <c r="F2108" s="26"/>
      <c r="G2108" s="26"/>
    </row>
    <row r="2109">
      <c r="A2109" s="28"/>
      <c r="B2109" s="26"/>
      <c r="C2109" s="27"/>
      <c r="D2109" s="27"/>
      <c r="E2109" s="26"/>
      <c r="F2109" s="26"/>
      <c r="G2109" s="26"/>
    </row>
    <row r="2110">
      <c r="A2110" s="28"/>
      <c r="B2110" s="26"/>
      <c r="C2110" s="27"/>
      <c r="D2110" s="27"/>
      <c r="E2110" s="26"/>
      <c r="F2110" s="26"/>
      <c r="G2110" s="26"/>
    </row>
    <row r="2111">
      <c r="A2111" s="28"/>
      <c r="B2111" s="26"/>
      <c r="C2111" s="27"/>
      <c r="D2111" s="27"/>
      <c r="E2111" s="26"/>
      <c r="F2111" s="26"/>
      <c r="G2111" s="26"/>
    </row>
    <row r="2112">
      <c r="A2112" s="28"/>
      <c r="B2112" s="26"/>
      <c r="C2112" s="27"/>
      <c r="D2112" s="27"/>
      <c r="E2112" s="26"/>
      <c r="F2112" s="26"/>
      <c r="G2112" s="26"/>
    </row>
    <row r="2113">
      <c r="A2113" s="28"/>
      <c r="B2113" s="26"/>
      <c r="C2113" s="27"/>
      <c r="D2113" s="27"/>
      <c r="E2113" s="26"/>
      <c r="F2113" s="26"/>
      <c r="G2113" s="26"/>
    </row>
    <row r="2114">
      <c r="A2114" s="28"/>
      <c r="B2114" s="26"/>
      <c r="C2114" s="27"/>
      <c r="D2114" s="27"/>
      <c r="E2114" s="26"/>
      <c r="F2114" s="26"/>
      <c r="G2114" s="26"/>
    </row>
    <row r="2115">
      <c r="A2115" s="28"/>
      <c r="B2115" s="26"/>
      <c r="C2115" s="27"/>
      <c r="D2115" s="27"/>
      <c r="E2115" s="26"/>
      <c r="F2115" s="26"/>
      <c r="G2115" s="26"/>
    </row>
    <row r="2116">
      <c r="A2116" s="28"/>
      <c r="B2116" s="26"/>
      <c r="C2116" s="27"/>
      <c r="D2116" s="27"/>
      <c r="E2116" s="26"/>
      <c r="F2116" s="26"/>
      <c r="G2116" s="26"/>
    </row>
    <row r="2117">
      <c r="A2117" s="28"/>
      <c r="B2117" s="26"/>
      <c r="C2117" s="27"/>
      <c r="D2117" s="27"/>
      <c r="E2117" s="26"/>
      <c r="F2117" s="26"/>
      <c r="G2117" s="26"/>
    </row>
    <row r="2118">
      <c r="A2118" s="28"/>
      <c r="B2118" s="26"/>
      <c r="C2118" s="27"/>
      <c r="D2118" s="27"/>
      <c r="E2118" s="26"/>
      <c r="F2118" s="26"/>
      <c r="G2118" s="26"/>
    </row>
    <row r="2119">
      <c r="A2119" s="28"/>
      <c r="B2119" s="26"/>
      <c r="C2119" s="27"/>
      <c r="D2119" s="27"/>
      <c r="E2119" s="26"/>
      <c r="F2119" s="26"/>
      <c r="G2119" s="26"/>
    </row>
    <row r="2120">
      <c r="A2120" s="28"/>
      <c r="B2120" s="26"/>
      <c r="C2120" s="27"/>
      <c r="D2120" s="27"/>
      <c r="E2120" s="26"/>
      <c r="F2120" s="26"/>
      <c r="G2120" s="26"/>
    </row>
    <row r="2121">
      <c r="A2121" s="28"/>
      <c r="B2121" s="26"/>
      <c r="C2121" s="27"/>
      <c r="D2121" s="27"/>
      <c r="E2121" s="26"/>
      <c r="F2121" s="26"/>
      <c r="G2121" s="26"/>
    </row>
    <row r="2122">
      <c r="A2122" s="28"/>
      <c r="B2122" s="26"/>
      <c r="C2122" s="27"/>
      <c r="D2122" s="27"/>
      <c r="E2122" s="26"/>
      <c r="F2122" s="26"/>
      <c r="G2122" s="26"/>
    </row>
    <row r="2123">
      <c r="A2123" s="28"/>
      <c r="B2123" s="26"/>
      <c r="C2123" s="27"/>
      <c r="D2123" s="27"/>
      <c r="E2123" s="26"/>
      <c r="F2123" s="26"/>
      <c r="G2123" s="26"/>
    </row>
    <row r="2124">
      <c r="A2124" s="28"/>
      <c r="B2124" s="26"/>
      <c r="C2124" s="27"/>
      <c r="D2124" s="27"/>
      <c r="E2124" s="26"/>
      <c r="F2124" s="26"/>
      <c r="G2124" s="26"/>
    </row>
    <row r="2125">
      <c r="A2125" s="28"/>
      <c r="B2125" s="26"/>
      <c r="C2125" s="27"/>
      <c r="D2125" s="27"/>
      <c r="E2125" s="26"/>
      <c r="F2125" s="26"/>
      <c r="G2125" s="26"/>
    </row>
    <row r="2126">
      <c r="A2126" s="28"/>
      <c r="B2126" s="26"/>
      <c r="C2126" s="27"/>
      <c r="D2126" s="27"/>
      <c r="E2126" s="26"/>
      <c r="F2126" s="26"/>
      <c r="G2126" s="26"/>
    </row>
    <row r="2127">
      <c r="A2127" s="28"/>
      <c r="B2127" s="26"/>
      <c r="C2127" s="27"/>
      <c r="D2127" s="27"/>
      <c r="E2127" s="26"/>
      <c r="F2127" s="26"/>
      <c r="G2127" s="26"/>
    </row>
    <row r="2128">
      <c r="A2128" s="28"/>
      <c r="B2128" s="26"/>
      <c r="C2128" s="27"/>
      <c r="D2128" s="27"/>
      <c r="E2128" s="26"/>
      <c r="F2128" s="26"/>
      <c r="G2128" s="26"/>
    </row>
    <row r="2129">
      <c r="A2129" s="28"/>
      <c r="B2129" s="26"/>
      <c r="C2129" s="27"/>
      <c r="D2129" s="27"/>
      <c r="E2129" s="26"/>
      <c r="F2129" s="26"/>
      <c r="G2129" s="26"/>
    </row>
    <row r="2130">
      <c r="A2130" s="28"/>
      <c r="B2130" s="26"/>
      <c r="C2130" s="27"/>
      <c r="D2130" s="27"/>
      <c r="E2130" s="26"/>
      <c r="F2130" s="26"/>
      <c r="G2130" s="26"/>
    </row>
    <row r="2131">
      <c r="A2131" s="28"/>
      <c r="B2131" s="26"/>
      <c r="C2131" s="27"/>
      <c r="D2131" s="27"/>
      <c r="E2131" s="26"/>
      <c r="F2131" s="26"/>
      <c r="G2131" s="26"/>
    </row>
    <row r="2132">
      <c r="A2132" s="28"/>
      <c r="B2132" s="26"/>
      <c r="C2132" s="27"/>
      <c r="D2132" s="27"/>
      <c r="E2132" s="26"/>
      <c r="F2132" s="26"/>
      <c r="G2132" s="26"/>
    </row>
    <row r="2133">
      <c r="A2133" s="28"/>
      <c r="B2133" s="26"/>
      <c r="C2133" s="27"/>
      <c r="D2133" s="27"/>
      <c r="E2133" s="26"/>
      <c r="F2133" s="26"/>
      <c r="G2133" s="26"/>
    </row>
    <row r="2134">
      <c r="A2134" s="28"/>
      <c r="B2134" s="26"/>
      <c r="C2134" s="27"/>
      <c r="D2134" s="27"/>
      <c r="E2134" s="26"/>
      <c r="F2134" s="26"/>
      <c r="G2134" s="26"/>
    </row>
    <row r="2135">
      <c r="A2135" s="28"/>
      <c r="B2135" s="26"/>
      <c r="C2135" s="27"/>
      <c r="D2135" s="27"/>
      <c r="E2135" s="26"/>
      <c r="F2135" s="26"/>
      <c r="G2135" s="26"/>
    </row>
    <row r="2136">
      <c r="A2136" s="28"/>
      <c r="B2136" s="26"/>
      <c r="C2136" s="27"/>
      <c r="D2136" s="27"/>
      <c r="E2136" s="26"/>
      <c r="F2136" s="26"/>
      <c r="G2136" s="26"/>
    </row>
    <row r="2137">
      <c r="A2137" s="28"/>
      <c r="B2137" s="26"/>
      <c r="C2137" s="27"/>
      <c r="D2137" s="27"/>
      <c r="E2137" s="26"/>
      <c r="F2137" s="26"/>
      <c r="G2137" s="26"/>
    </row>
    <row r="2138">
      <c r="A2138" s="28"/>
      <c r="B2138" s="26"/>
      <c r="C2138" s="27"/>
      <c r="D2138" s="27"/>
      <c r="E2138" s="26"/>
      <c r="F2138" s="26"/>
      <c r="G2138" s="26"/>
    </row>
    <row r="2139">
      <c r="A2139" s="28"/>
      <c r="B2139" s="26"/>
      <c r="C2139" s="27"/>
      <c r="D2139" s="27"/>
      <c r="E2139" s="26"/>
      <c r="F2139" s="26"/>
      <c r="G2139" s="26"/>
    </row>
    <row r="2140">
      <c r="A2140" s="28"/>
      <c r="B2140" s="26"/>
      <c r="C2140" s="27"/>
      <c r="D2140" s="27"/>
      <c r="E2140" s="26"/>
      <c r="F2140" s="26"/>
      <c r="G2140" s="26"/>
    </row>
    <row r="2141">
      <c r="A2141" s="28"/>
      <c r="B2141" s="26"/>
      <c r="C2141" s="27"/>
      <c r="D2141" s="27"/>
      <c r="E2141" s="26"/>
      <c r="F2141" s="26"/>
      <c r="G2141" s="26"/>
    </row>
    <row r="2142">
      <c r="A2142" s="28"/>
      <c r="B2142" s="26"/>
      <c r="C2142" s="27"/>
      <c r="D2142" s="27"/>
      <c r="E2142" s="26"/>
      <c r="F2142" s="26"/>
      <c r="G2142" s="26"/>
    </row>
    <row r="2143">
      <c r="A2143" s="28"/>
      <c r="B2143" s="26"/>
      <c r="C2143" s="27"/>
      <c r="D2143" s="27"/>
      <c r="E2143" s="26"/>
      <c r="F2143" s="26"/>
      <c r="G2143" s="26"/>
    </row>
    <row r="2144">
      <c r="A2144" s="28"/>
      <c r="B2144" s="26"/>
      <c r="C2144" s="27"/>
      <c r="D2144" s="27"/>
      <c r="E2144" s="26"/>
      <c r="F2144" s="26"/>
      <c r="G2144" s="26"/>
    </row>
    <row r="2145">
      <c r="A2145" s="28"/>
      <c r="B2145" s="26"/>
      <c r="C2145" s="27"/>
      <c r="D2145" s="27"/>
      <c r="E2145" s="26"/>
      <c r="F2145" s="26"/>
      <c r="G2145" s="26"/>
    </row>
    <row r="2146">
      <c r="A2146" s="28"/>
      <c r="B2146" s="26"/>
      <c r="C2146" s="27"/>
      <c r="D2146" s="27"/>
      <c r="E2146" s="26"/>
      <c r="F2146" s="26"/>
      <c r="G2146" s="26"/>
    </row>
    <row r="2147">
      <c r="A2147" s="28"/>
      <c r="B2147" s="26"/>
      <c r="C2147" s="27"/>
      <c r="D2147" s="27"/>
      <c r="E2147" s="26"/>
      <c r="F2147" s="26"/>
      <c r="G2147" s="26"/>
    </row>
    <row r="2148">
      <c r="A2148" s="28"/>
      <c r="B2148" s="26"/>
      <c r="C2148" s="27"/>
      <c r="D2148" s="27"/>
      <c r="E2148" s="26"/>
      <c r="F2148" s="26"/>
      <c r="G2148" s="26"/>
    </row>
    <row r="2149">
      <c r="A2149" s="28"/>
      <c r="B2149" s="26"/>
      <c r="C2149" s="27"/>
      <c r="D2149" s="27"/>
      <c r="E2149" s="26"/>
      <c r="F2149" s="26"/>
      <c r="G2149" s="26"/>
    </row>
    <row r="2150">
      <c r="A2150" s="28"/>
      <c r="B2150" s="26"/>
      <c r="C2150" s="27"/>
      <c r="D2150" s="27"/>
      <c r="E2150" s="26"/>
      <c r="F2150" s="26"/>
      <c r="G2150" s="26"/>
    </row>
    <row r="2151">
      <c r="A2151" s="28"/>
      <c r="B2151" s="26"/>
      <c r="C2151" s="27"/>
      <c r="D2151" s="27"/>
      <c r="E2151" s="26"/>
      <c r="F2151" s="26"/>
      <c r="G2151" s="26"/>
    </row>
    <row r="2152">
      <c r="A2152" s="28"/>
      <c r="B2152" s="26"/>
      <c r="C2152" s="27"/>
      <c r="D2152" s="27"/>
      <c r="E2152" s="26"/>
      <c r="F2152" s="26"/>
      <c r="G2152" s="26"/>
    </row>
    <row r="2153">
      <c r="A2153" s="28"/>
      <c r="B2153" s="26"/>
      <c r="C2153" s="27"/>
      <c r="D2153" s="27"/>
      <c r="E2153" s="26"/>
      <c r="F2153" s="26"/>
      <c r="G2153" s="26"/>
    </row>
    <row r="2154">
      <c r="A2154" s="28"/>
      <c r="B2154" s="26"/>
      <c r="C2154" s="27"/>
      <c r="D2154" s="27"/>
      <c r="E2154" s="26"/>
      <c r="F2154" s="26"/>
      <c r="G2154" s="26"/>
    </row>
    <row r="2155">
      <c r="A2155" s="28"/>
      <c r="B2155" s="26"/>
      <c r="C2155" s="27"/>
      <c r="D2155" s="27"/>
      <c r="E2155" s="26"/>
      <c r="F2155" s="26"/>
      <c r="G2155" s="26"/>
    </row>
    <row r="2156">
      <c r="A2156" s="28"/>
      <c r="B2156" s="26"/>
      <c r="C2156" s="27"/>
      <c r="D2156" s="27"/>
      <c r="E2156" s="26"/>
      <c r="F2156" s="26"/>
      <c r="G2156" s="26"/>
    </row>
    <row r="2157">
      <c r="A2157" s="28"/>
      <c r="B2157" s="26"/>
      <c r="C2157" s="27"/>
      <c r="D2157" s="27"/>
      <c r="E2157" s="26"/>
      <c r="F2157" s="26"/>
      <c r="G2157" s="26"/>
    </row>
    <row r="2158">
      <c r="A2158" s="28"/>
      <c r="B2158" s="26"/>
      <c r="C2158" s="27"/>
      <c r="D2158" s="27"/>
      <c r="E2158" s="26"/>
      <c r="F2158" s="26"/>
      <c r="G2158" s="26"/>
    </row>
    <row r="2159">
      <c r="A2159" s="28"/>
      <c r="B2159" s="26"/>
      <c r="C2159" s="27"/>
      <c r="D2159" s="27"/>
      <c r="E2159" s="26"/>
      <c r="F2159" s="26"/>
      <c r="G2159" s="26"/>
    </row>
    <row r="2160">
      <c r="A2160" s="28"/>
      <c r="B2160" s="26"/>
      <c r="C2160" s="27"/>
      <c r="D2160" s="27"/>
      <c r="E2160" s="26"/>
      <c r="F2160" s="26"/>
      <c r="G2160" s="26"/>
    </row>
    <row r="2161">
      <c r="A2161" s="28"/>
      <c r="B2161" s="26"/>
      <c r="C2161" s="27"/>
      <c r="D2161" s="27"/>
      <c r="E2161" s="26"/>
      <c r="F2161" s="26"/>
      <c r="G2161" s="26"/>
    </row>
    <row r="2162">
      <c r="A2162" s="28"/>
      <c r="B2162" s="26"/>
      <c r="C2162" s="27"/>
      <c r="D2162" s="27"/>
      <c r="E2162" s="26"/>
      <c r="F2162" s="26"/>
      <c r="G2162" s="26"/>
    </row>
    <row r="2163">
      <c r="A2163" s="28"/>
      <c r="B2163" s="26"/>
      <c r="C2163" s="27"/>
      <c r="D2163" s="27"/>
      <c r="E2163" s="26"/>
      <c r="F2163" s="26"/>
      <c r="G2163" s="26"/>
    </row>
    <row r="2164">
      <c r="A2164" s="28"/>
      <c r="B2164" s="26"/>
      <c r="C2164" s="27"/>
      <c r="D2164" s="27"/>
      <c r="E2164" s="26"/>
      <c r="F2164" s="26"/>
      <c r="G2164" s="26"/>
    </row>
    <row r="2165">
      <c r="A2165" s="28"/>
      <c r="B2165" s="26"/>
      <c r="C2165" s="27"/>
      <c r="D2165" s="27"/>
      <c r="E2165" s="26"/>
      <c r="F2165" s="26"/>
      <c r="G2165" s="26"/>
    </row>
    <row r="2166">
      <c r="A2166" s="28"/>
      <c r="B2166" s="26"/>
      <c r="C2166" s="27"/>
      <c r="D2166" s="27"/>
      <c r="E2166" s="26"/>
      <c r="F2166" s="26"/>
      <c r="G2166" s="26"/>
    </row>
    <row r="2167">
      <c r="A2167" s="28"/>
      <c r="B2167" s="26"/>
      <c r="C2167" s="27"/>
      <c r="D2167" s="27"/>
      <c r="E2167" s="26"/>
      <c r="F2167" s="26"/>
      <c r="G2167" s="26"/>
    </row>
    <row r="2168">
      <c r="A2168" s="28"/>
      <c r="B2168" s="26"/>
      <c r="C2168" s="27"/>
      <c r="D2168" s="27"/>
      <c r="E2168" s="26"/>
      <c r="F2168" s="26"/>
      <c r="G2168" s="26"/>
    </row>
    <row r="2169">
      <c r="A2169" s="28"/>
      <c r="B2169" s="26"/>
      <c r="C2169" s="27"/>
      <c r="D2169" s="27"/>
      <c r="E2169" s="26"/>
      <c r="F2169" s="26"/>
      <c r="G2169" s="26"/>
    </row>
    <row r="2170">
      <c r="A2170" s="28"/>
      <c r="B2170" s="26"/>
      <c r="C2170" s="27"/>
      <c r="D2170" s="27"/>
      <c r="E2170" s="26"/>
      <c r="F2170" s="26"/>
      <c r="G2170" s="26"/>
    </row>
    <row r="2171">
      <c r="A2171" s="28"/>
      <c r="B2171" s="26"/>
      <c r="C2171" s="27"/>
      <c r="D2171" s="27"/>
      <c r="E2171" s="26"/>
      <c r="F2171" s="26"/>
      <c r="G2171" s="26"/>
    </row>
    <row r="2172">
      <c r="A2172" s="28"/>
      <c r="B2172" s="26"/>
      <c r="C2172" s="27"/>
      <c r="D2172" s="27"/>
      <c r="E2172" s="26"/>
      <c r="F2172" s="26"/>
      <c r="G2172" s="26"/>
    </row>
    <row r="2173">
      <c r="A2173" s="28"/>
      <c r="B2173" s="26"/>
      <c r="C2173" s="27"/>
      <c r="D2173" s="27"/>
      <c r="E2173" s="26"/>
      <c r="F2173" s="26"/>
      <c r="G2173" s="26"/>
    </row>
    <row r="2174">
      <c r="A2174" s="28"/>
      <c r="B2174" s="26"/>
      <c r="C2174" s="27"/>
      <c r="D2174" s="27"/>
      <c r="E2174" s="26"/>
      <c r="F2174" s="26"/>
      <c r="G2174" s="26"/>
    </row>
    <row r="2175">
      <c r="A2175" s="28"/>
      <c r="B2175" s="26"/>
      <c r="C2175" s="27"/>
      <c r="D2175" s="27"/>
      <c r="E2175" s="26"/>
      <c r="F2175" s="26"/>
      <c r="G2175" s="26"/>
    </row>
    <row r="2176">
      <c r="A2176" s="28"/>
      <c r="B2176" s="26"/>
      <c r="C2176" s="27"/>
      <c r="D2176" s="27"/>
      <c r="E2176" s="26"/>
      <c r="F2176" s="26"/>
      <c r="G2176" s="26"/>
    </row>
    <row r="2177">
      <c r="A2177" s="28"/>
      <c r="B2177" s="26"/>
      <c r="C2177" s="27"/>
      <c r="D2177" s="27"/>
      <c r="E2177" s="26"/>
      <c r="F2177" s="26"/>
      <c r="G2177" s="26"/>
    </row>
    <row r="2178">
      <c r="A2178" s="28"/>
      <c r="B2178" s="26"/>
      <c r="C2178" s="27"/>
      <c r="D2178" s="27"/>
      <c r="E2178" s="26"/>
      <c r="F2178" s="26"/>
      <c r="G2178" s="26"/>
    </row>
    <row r="2179">
      <c r="A2179" s="28"/>
      <c r="B2179" s="26"/>
      <c r="C2179" s="27"/>
      <c r="D2179" s="27"/>
      <c r="E2179" s="26"/>
      <c r="F2179" s="26"/>
      <c r="G2179" s="26"/>
    </row>
    <row r="2180">
      <c r="A2180" s="28"/>
      <c r="B2180" s="26"/>
      <c r="C2180" s="27"/>
      <c r="D2180" s="27"/>
      <c r="E2180" s="26"/>
      <c r="F2180" s="26"/>
      <c r="G2180" s="26"/>
    </row>
    <row r="2181">
      <c r="A2181" s="28"/>
      <c r="B2181" s="26"/>
      <c r="C2181" s="27"/>
      <c r="D2181" s="27"/>
      <c r="E2181" s="26"/>
      <c r="F2181" s="26"/>
      <c r="G2181" s="26"/>
    </row>
    <row r="2182">
      <c r="A2182" s="28"/>
      <c r="B2182" s="26"/>
      <c r="C2182" s="27"/>
      <c r="D2182" s="27"/>
      <c r="E2182" s="26"/>
      <c r="F2182" s="26"/>
      <c r="G2182" s="26"/>
    </row>
    <row r="2183">
      <c r="A2183" s="28"/>
      <c r="B2183" s="26"/>
      <c r="C2183" s="27"/>
      <c r="D2183" s="27"/>
      <c r="E2183" s="26"/>
      <c r="F2183" s="26"/>
      <c r="G2183" s="26"/>
    </row>
    <row r="2184">
      <c r="A2184" s="28"/>
      <c r="B2184" s="26"/>
      <c r="C2184" s="27"/>
      <c r="D2184" s="27"/>
      <c r="E2184" s="26"/>
      <c r="F2184" s="26"/>
      <c r="G2184" s="26"/>
    </row>
    <row r="2185">
      <c r="A2185" s="28"/>
      <c r="B2185" s="26"/>
      <c r="C2185" s="27"/>
      <c r="D2185" s="27"/>
      <c r="E2185" s="26"/>
      <c r="F2185" s="26"/>
      <c r="G2185" s="26"/>
    </row>
    <row r="2186">
      <c r="A2186" s="28"/>
      <c r="B2186" s="26"/>
      <c r="C2186" s="27"/>
      <c r="D2186" s="27"/>
      <c r="E2186" s="26"/>
      <c r="F2186" s="26"/>
      <c r="G2186" s="26"/>
    </row>
    <row r="2187">
      <c r="A2187" s="28"/>
      <c r="B2187" s="26"/>
      <c r="C2187" s="27"/>
      <c r="D2187" s="27"/>
      <c r="E2187" s="26"/>
      <c r="F2187" s="26"/>
      <c r="G2187" s="26"/>
    </row>
    <row r="2188">
      <c r="A2188" s="28"/>
      <c r="B2188" s="26"/>
      <c r="C2188" s="27"/>
      <c r="D2188" s="27"/>
      <c r="E2188" s="26"/>
      <c r="F2188" s="26"/>
      <c r="G2188" s="26"/>
    </row>
    <row r="2189">
      <c r="A2189" s="28"/>
      <c r="B2189" s="26"/>
      <c r="C2189" s="27"/>
      <c r="D2189" s="27"/>
      <c r="E2189" s="26"/>
      <c r="F2189" s="26"/>
      <c r="G2189" s="26"/>
    </row>
    <row r="2190">
      <c r="A2190" s="28"/>
      <c r="B2190" s="26"/>
      <c r="C2190" s="27"/>
      <c r="D2190" s="27"/>
      <c r="E2190" s="26"/>
      <c r="F2190" s="26"/>
      <c r="G2190" s="26"/>
    </row>
    <row r="2191">
      <c r="A2191" s="28"/>
      <c r="B2191" s="26"/>
      <c r="C2191" s="27"/>
      <c r="D2191" s="27"/>
      <c r="E2191" s="26"/>
      <c r="F2191" s="26"/>
      <c r="G2191" s="26"/>
    </row>
    <row r="2192">
      <c r="A2192" s="28"/>
      <c r="B2192" s="26"/>
      <c r="C2192" s="27"/>
      <c r="D2192" s="27"/>
      <c r="E2192" s="26"/>
      <c r="F2192" s="26"/>
      <c r="G2192" s="26"/>
    </row>
    <row r="2193">
      <c r="A2193" s="28"/>
      <c r="B2193" s="26"/>
      <c r="C2193" s="27"/>
      <c r="D2193" s="27"/>
      <c r="E2193" s="26"/>
      <c r="F2193" s="26"/>
      <c r="G2193" s="26"/>
    </row>
    <row r="2194">
      <c r="A2194" s="28"/>
      <c r="B2194" s="26"/>
      <c r="C2194" s="27"/>
      <c r="D2194" s="27"/>
      <c r="E2194" s="26"/>
      <c r="F2194" s="26"/>
      <c r="G2194" s="26"/>
    </row>
    <row r="2195">
      <c r="A2195" s="28"/>
      <c r="B2195" s="26"/>
      <c r="C2195" s="27"/>
      <c r="D2195" s="27"/>
      <c r="E2195" s="26"/>
      <c r="F2195" s="26"/>
      <c r="G2195" s="26"/>
    </row>
    <row r="2196">
      <c r="A2196" s="28"/>
      <c r="B2196" s="26"/>
      <c r="C2196" s="27"/>
      <c r="D2196" s="27"/>
      <c r="E2196" s="26"/>
      <c r="F2196" s="26"/>
      <c r="G2196" s="26"/>
    </row>
    <row r="2197">
      <c r="A2197" s="28"/>
      <c r="B2197" s="26"/>
      <c r="C2197" s="27"/>
      <c r="D2197" s="27"/>
      <c r="E2197" s="26"/>
      <c r="F2197" s="26"/>
      <c r="G2197" s="26"/>
    </row>
    <row r="2198">
      <c r="A2198" s="28"/>
      <c r="B2198" s="26"/>
      <c r="C2198" s="27"/>
      <c r="D2198" s="27"/>
      <c r="E2198" s="26"/>
      <c r="F2198" s="26"/>
      <c r="G2198" s="26"/>
    </row>
    <row r="2199">
      <c r="A2199" s="28"/>
      <c r="B2199" s="26"/>
      <c r="C2199" s="27"/>
      <c r="D2199" s="27"/>
      <c r="E2199" s="26"/>
      <c r="F2199" s="26"/>
      <c r="G2199" s="26"/>
    </row>
    <row r="2200">
      <c r="A2200" s="28"/>
      <c r="B2200" s="26"/>
      <c r="C2200" s="27"/>
      <c r="D2200" s="27"/>
      <c r="E2200" s="26"/>
      <c r="F2200" s="26"/>
      <c r="G2200" s="26"/>
    </row>
    <row r="2201">
      <c r="A2201" s="28"/>
      <c r="B2201" s="26"/>
      <c r="C2201" s="27"/>
      <c r="D2201" s="27"/>
      <c r="E2201" s="26"/>
      <c r="F2201" s="26"/>
      <c r="G2201" s="26"/>
    </row>
    <row r="2202">
      <c r="A2202" s="28"/>
      <c r="B2202" s="26"/>
      <c r="C2202" s="27"/>
      <c r="D2202" s="27"/>
      <c r="E2202" s="26"/>
      <c r="F2202" s="26"/>
      <c r="G2202" s="26"/>
    </row>
    <row r="2203">
      <c r="A2203" s="28"/>
      <c r="B2203" s="26"/>
      <c r="C2203" s="27"/>
      <c r="D2203" s="27"/>
      <c r="E2203" s="26"/>
      <c r="F2203" s="26"/>
      <c r="G2203" s="26"/>
    </row>
    <row r="2204">
      <c r="A2204" s="28"/>
      <c r="B2204" s="26"/>
      <c r="C2204" s="27"/>
      <c r="D2204" s="27"/>
      <c r="E2204" s="26"/>
      <c r="F2204" s="26"/>
      <c r="G2204" s="26"/>
    </row>
    <row r="2205">
      <c r="A2205" s="28"/>
      <c r="B2205" s="26"/>
      <c r="C2205" s="27"/>
      <c r="D2205" s="27"/>
      <c r="E2205" s="26"/>
      <c r="F2205" s="26"/>
      <c r="G2205" s="26"/>
    </row>
    <row r="2206">
      <c r="A2206" s="28"/>
      <c r="B2206" s="26"/>
      <c r="C2206" s="27"/>
      <c r="D2206" s="27"/>
      <c r="E2206" s="26"/>
      <c r="F2206" s="26"/>
      <c r="G2206" s="26"/>
    </row>
    <row r="2207">
      <c r="A2207" s="28"/>
      <c r="B2207" s="26"/>
      <c r="C2207" s="27"/>
      <c r="D2207" s="27"/>
      <c r="E2207" s="26"/>
      <c r="F2207" s="26"/>
      <c r="G2207" s="26"/>
    </row>
    <row r="2208">
      <c r="A2208" s="28"/>
      <c r="B2208" s="26"/>
      <c r="C2208" s="27"/>
      <c r="D2208" s="27"/>
      <c r="E2208" s="26"/>
      <c r="F2208" s="26"/>
      <c r="G2208" s="26"/>
    </row>
    <row r="2209">
      <c r="A2209" s="28"/>
      <c r="B2209" s="26"/>
      <c r="C2209" s="27"/>
      <c r="D2209" s="27"/>
      <c r="E2209" s="26"/>
      <c r="F2209" s="26"/>
      <c r="G2209" s="26"/>
    </row>
    <row r="2210">
      <c r="A2210" s="28"/>
      <c r="B2210" s="26"/>
      <c r="C2210" s="27"/>
      <c r="D2210" s="27"/>
      <c r="E2210" s="26"/>
      <c r="F2210" s="26"/>
      <c r="G2210" s="26"/>
    </row>
    <row r="2211">
      <c r="A2211" s="28"/>
      <c r="B2211" s="26"/>
      <c r="C2211" s="27"/>
      <c r="D2211" s="27"/>
      <c r="E2211" s="26"/>
      <c r="F2211" s="26"/>
      <c r="G2211" s="26"/>
    </row>
    <row r="2212">
      <c r="A2212" s="28"/>
      <c r="B2212" s="26"/>
      <c r="C2212" s="27"/>
      <c r="D2212" s="27"/>
      <c r="E2212" s="26"/>
      <c r="F2212" s="26"/>
      <c r="G2212" s="26"/>
    </row>
    <row r="2213">
      <c r="A2213" s="28"/>
      <c r="B2213" s="26"/>
      <c r="C2213" s="27"/>
      <c r="D2213" s="27"/>
      <c r="E2213" s="26"/>
      <c r="F2213" s="26"/>
      <c r="G2213" s="26"/>
    </row>
    <row r="2214">
      <c r="A2214" s="28"/>
      <c r="B2214" s="26"/>
      <c r="C2214" s="27"/>
      <c r="D2214" s="27"/>
      <c r="E2214" s="26"/>
      <c r="F2214" s="26"/>
      <c r="G2214" s="26"/>
    </row>
    <row r="2215">
      <c r="A2215" s="28"/>
      <c r="B2215" s="26"/>
      <c r="C2215" s="27"/>
      <c r="D2215" s="27"/>
      <c r="E2215" s="26"/>
      <c r="F2215" s="26"/>
      <c r="G2215" s="26"/>
    </row>
    <row r="2216">
      <c r="A2216" s="28"/>
      <c r="B2216" s="26"/>
      <c r="C2216" s="27"/>
      <c r="D2216" s="27"/>
      <c r="E2216" s="26"/>
      <c r="F2216" s="26"/>
      <c r="G2216" s="26"/>
    </row>
    <row r="2217">
      <c r="A2217" s="28"/>
      <c r="B2217" s="26"/>
      <c r="C2217" s="27"/>
      <c r="D2217" s="27"/>
      <c r="E2217" s="26"/>
      <c r="F2217" s="26"/>
      <c r="G2217" s="26"/>
    </row>
    <row r="2218">
      <c r="A2218" s="28"/>
      <c r="B2218" s="26"/>
      <c r="C2218" s="27"/>
      <c r="D2218" s="27"/>
      <c r="E2218" s="26"/>
      <c r="F2218" s="26"/>
      <c r="G2218" s="26"/>
    </row>
    <row r="2219">
      <c r="A2219" s="28"/>
      <c r="B2219" s="26"/>
      <c r="C2219" s="27"/>
      <c r="D2219" s="27"/>
      <c r="E2219" s="26"/>
      <c r="F2219" s="26"/>
      <c r="G2219" s="26"/>
    </row>
    <row r="2220">
      <c r="A2220" s="28"/>
      <c r="B2220" s="26"/>
      <c r="C2220" s="27"/>
      <c r="D2220" s="27"/>
      <c r="E2220" s="26"/>
      <c r="F2220" s="26"/>
      <c r="G2220" s="26"/>
    </row>
    <row r="2221">
      <c r="A2221" s="28"/>
      <c r="B2221" s="26"/>
      <c r="C2221" s="27"/>
      <c r="D2221" s="27"/>
      <c r="E2221" s="26"/>
      <c r="F2221" s="26"/>
      <c r="G2221" s="26"/>
    </row>
    <row r="2222">
      <c r="A2222" s="28"/>
      <c r="B2222" s="26"/>
      <c r="C2222" s="27"/>
      <c r="D2222" s="27"/>
      <c r="E2222" s="26"/>
      <c r="F2222" s="26"/>
      <c r="G2222" s="26"/>
    </row>
    <row r="2223">
      <c r="A2223" s="28"/>
      <c r="B2223" s="26"/>
      <c r="C2223" s="27"/>
      <c r="D2223" s="27"/>
      <c r="E2223" s="26"/>
      <c r="F2223" s="26"/>
      <c r="G2223" s="26"/>
    </row>
    <row r="2224">
      <c r="A2224" s="28"/>
      <c r="B2224" s="26"/>
      <c r="C2224" s="27"/>
      <c r="D2224" s="27"/>
      <c r="E2224" s="26"/>
      <c r="F2224" s="26"/>
      <c r="G2224" s="26"/>
    </row>
    <row r="2225">
      <c r="A2225" s="28"/>
      <c r="B2225" s="26"/>
      <c r="C2225" s="27"/>
      <c r="D2225" s="27"/>
      <c r="E2225" s="26"/>
      <c r="F2225" s="26"/>
      <c r="G2225" s="26"/>
    </row>
    <row r="2226">
      <c r="A2226" s="28"/>
      <c r="B2226" s="26"/>
      <c r="C2226" s="27"/>
      <c r="D2226" s="27"/>
      <c r="E2226" s="26"/>
      <c r="F2226" s="26"/>
      <c r="G2226" s="26"/>
    </row>
    <row r="2227">
      <c r="A2227" s="28"/>
      <c r="B2227" s="26"/>
      <c r="C2227" s="27"/>
      <c r="D2227" s="27"/>
      <c r="E2227" s="26"/>
      <c r="F2227" s="26"/>
      <c r="G2227" s="26"/>
    </row>
    <row r="2228">
      <c r="A2228" s="28"/>
      <c r="B2228" s="26"/>
      <c r="C2228" s="27"/>
      <c r="D2228" s="27"/>
      <c r="E2228" s="26"/>
      <c r="F2228" s="26"/>
      <c r="G2228" s="26"/>
    </row>
    <row r="2229">
      <c r="A2229" s="28"/>
      <c r="B2229" s="26"/>
      <c r="C2229" s="27"/>
      <c r="D2229" s="27"/>
      <c r="E2229" s="26"/>
      <c r="F2229" s="26"/>
      <c r="G2229" s="26"/>
    </row>
    <row r="2230">
      <c r="A2230" s="28"/>
      <c r="B2230" s="26"/>
      <c r="C2230" s="27"/>
      <c r="D2230" s="27"/>
      <c r="E2230" s="26"/>
      <c r="F2230" s="26"/>
      <c r="G2230" s="26"/>
    </row>
  </sheetData>
  <mergeCells count="6">
    <mergeCell ref="A1:E1"/>
    <mergeCell ref="A2:A3"/>
    <mergeCell ref="B2:D2"/>
    <mergeCell ref="E2:E3"/>
    <mergeCell ref="F2:F3"/>
    <mergeCell ref="G2:G3"/>
  </mergeCells>
  <hyperlinks>
    <hyperlink r:id="rId1" ref="A1"/>
  </hyperlinks>
  <drawing r:id="rId2"/>
</worksheet>
</file>